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EstaPasta_de_trabalho" autoCompressPictures="0"/>
  <mc:AlternateContent xmlns:mc="http://schemas.openxmlformats.org/markup-compatibility/2006">
    <mc:Choice Requires="x15">
      <x15ac:absPath xmlns:x15ac="http://schemas.microsoft.com/office/spreadsheetml/2010/11/ac" url="C:\Users\Lm103\Desktop\"/>
    </mc:Choice>
  </mc:AlternateContent>
  <bookViews>
    <workbookView xWindow="0" yWindow="0" windowWidth="20490" windowHeight="7650"/>
  </bookViews>
  <sheets>
    <sheet name="Inicio" sheetId="8" r:id="rId1"/>
    <sheet name="Entrada de Dados" sheetId="4" r:id="rId2"/>
    <sheet name="Sheet1" sheetId="5" state="hidden" r:id="rId3"/>
    <sheet name="Aliquota de Impostos" sheetId="11" r:id="rId4"/>
    <sheet name="Resultados" sheetId="13" r:id="rId5"/>
    <sheet name="Sobre a L&amp;M Contabilidade" sheetId="9" r:id="rId6"/>
    <sheet name="Anexo I Comércio" sheetId="16" r:id="rId7"/>
    <sheet name="Anexo II - Indústria" sheetId="17" r:id="rId8"/>
    <sheet name="Anexo III - Serviços Inst." sheetId="18" r:id="rId9"/>
    <sheet name="Anexo IV - Serviços em geral" sheetId="19" r:id="rId10"/>
    <sheet name="Anexo V - Serviços Intelectuais" sheetId="20" r:id="rId11"/>
    <sheet name="Auxiliar" sheetId="15" state="hidden" r:id="rId12"/>
  </sheets>
  <definedNames>
    <definedName name="_xlnm.Print_Area" localSheetId="3">'Aliquota de Impostos'!$A$1:$P$19</definedName>
    <definedName name="_xlnm.Print_Area" localSheetId="1">'Entrada de Dados'!$A$1:$L$18</definedName>
    <definedName name="_xlnm.Print_Area" localSheetId="4">Resultados!$A$1:$N$23</definedName>
  </definedNames>
  <calcPr calcId="152511"/>
</workbook>
</file>

<file path=xl/calcChain.xml><?xml version="1.0" encoding="utf-8"?>
<calcChain xmlns="http://schemas.openxmlformats.org/spreadsheetml/2006/main">
  <c r="N34" i="19" l="1"/>
  <c r="K31" i="19"/>
  <c r="K32" i="19" s="1"/>
  <c r="I31" i="19"/>
  <c r="I32" i="19" s="1"/>
  <c r="M30" i="19"/>
  <c r="J31" i="19" s="1"/>
  <c r="M18" i="19"/>
  <c r="Q13" i="19"/>
  <c r="Q12" i="19"/>
  <c r="Q11" i="19"/>
  <c r="N42" i="18"/>
  <c r="L43" i="18" s="1"/>
  <c r="N33" i="18"/>
  <c r="N29" i="18"/>
  <c r="K31" i="18" s="1"/>
  <c r="J30" i="18" l="1"/>
  <c r="L31" i="18"/>
  <c r="I43" i="18"/>
  <c r="M43" i="18"/>
  <c r="L31" i="19"/>
  <c r="L32" i="19" s="1"/>
  <c r="K30" i="18"/>
  <c r="I31" i="18"/>
  <c r="M31" i="18"/>
  <c r="J43" i="18"/>
  <c r="L30" i="18"/>
  <c r="J31" i="18"/>
  <c r="K43" i="18"/>
  <c r="I30" i="18"/>
  <c r="N30" i="18" s="1"/>
  <c r="M30" i="18"/>
  <c r="N31" i="18" l="1"/>
  <c r="G10" i="13" l="1"/>
  <c r="G9" i="13"/>
  <c r="K12" i="4"/>
  <c r="J13" i="13" l="1"/>
  <c r="G13" i="13"/>
  <c r="E9" i="11"/>
  <c r="M19" i="13" s="1"/>
  <c r="E11" i="4"/>
  <c r="J11" i="13"/>
  <c r="G11" i="13"/>
  <c r="M14" i="13"/>
  <c r="M20" i="13"/>
  <c r="J20" i="13"/>
  <c r="J18" i="13"/>
  <c r="J17" i="13"/>
  <c r="J12" i="13"/>
  <c r="G12" i="13"/>
  <c r="G20" i="13"/>
  <c r="G17" i="13"/>
  <c r="G18" i="13"/>
  <c r="G8" i="13"/>
  <c r="F7" i="13"/>
  <c r="F6" i="13"/>
  <c r="K13" i="4"/>
  <c r="H12" i="4"/>
  <c r="D13" i="5"/>
  <c r="E13" i="5"/>
  <c r="F13" i="5"/>
  <c r="G13" i="5"/>
  <c r="H13" i="5"/>
  <c r="I13" i="5"/>
  <c r="J13" i="5"/>
  <c r="K13" i="5"/>
  <c r="L13" i="5"/>
  <c r="M13" i="5"/>
  <c r="N13" i="5"/>
  <c r="O13" i="5"/>
  <c r="DJ13" i="5"/>
  <c r="DG13" i="5"/>
  <c r="CQ13" i="5"/>
  <c r="DS13" i="5"/>
  <c r="CM13" i="5"/>
  <c r="BD13" i="5"/>
  <c r="AH13" i="5"/>
  <c r="DN13" i="5"/>
  <c r="AL13" i="5"/>
  <c r="BK13" i="5"/>
  <c r="CB13" i="5"/>
  <c r="CV13" i="5"/>
  <c r="AO13" i="5"/>
  <c r="BM13" i="5"/>
  <c r="CP13" i="5"/>
  <c r="AS13" i="5"/>
  <c r="BE13" i="5"/>
  <c r="Y13" i="5"/>
  <c r="AW13" i="5"/>
  <c r="AG13" i="5"/>
  <c r="AK13" i="5"/>
  <c r="BA13" i="5"/>
  <c r="BC13" i="5"/>
  <c r="P13" i="5"/>
  <c r="U13" i="5"/>
  <c r="CZ13" i="5"/>
  <c r="BS13" i="5"/>
  <c r="AZ13" i="5"/>
  <c r="AV13" i="5"/>
  <c r="AR13" i="5"/>
  <c r="AN13" i="5"/>
  <c r="AJ13" i="5"/>
  <c r="AF13" i="5"/>
  <c r="AB13" i="5"/>
  <c r="X13" i="5"/>
  <c r="CS13" i="5"/>
  <c r="CG13" i="5"/>
  <c r="DD13" i="5"/>
  <c r="AM13" i="5"/>
  <c r="AE13" i="5"/>
  <c r="AA13" i="5"/>
  <c r="S13" i="5"/>
  <c r="AC13" i="5"/>
  <c r="BX13" i="5"/>
  <c r="CF13" i="5"/>
  <c r="DC13" i="5"/>
  <c r="CO13" i="5"/>
  <c r="CK13" i="5"/>
  <c r="BH13" i="5"/>
  <c r="AX13" i="5"/>
  <c r="T13" i="5"/>
  <c r="CR13" i="5"/>
  <c r="DO13" i="5"/>
  <c r="DK13" i="5"/>
  <c r="DP13" i="5"/>
  <c r="DL13" i="5"/>
  <c r="DH13" i="5"/>
  <c r="V13" i="5"/>
  <c r="R13" i="5"/>
  <c r="CJ13" i="5"/>
  <c r="CI13" i="5"/>
  <c r="CE13" i="5"/>
  <c r="CA13" i="5"/>
  <c r="BT13" i="5"/>
  <c r="BP13" i="5"/>
  <c r="BL13" i="5"/>
  <c r="CN13" i="5"/>
  <c r="BF13" i="5"/>
  <c r="Q13" i="5"/>
  <c r="DE13" i="5"/>
  <c r="CW13" i="5"/>
  <c r="AY13" i="5"/>
  <c r="AU13" i="5"/>
  <c r="AP13" i="5"/>
  <c r="CY13" i="5"/>
  <c r="Z13" i="5"/>
  <c r="AD13" i="5"/>
  <c r="W13" i="5"/>
  <c r="BW13" i="5"/>
  <c r="BO13" i="5"/>
  <c r="BG13" i="5"/>
  <c r="AQ13" i="5"/>
  <c r="AI13" i="5"/>
  <c r="DR13" i="5"/>
  <c r="BZ13" i="5"/>
  <c r="DF13" i="5"/>
  <c r="BN13" i="5"/>
  <c r="DB13" i="5"/>
  <c r="DM13" i="5"/>
  <c r="CU13" i="5"/>
  <c r="DI13" i="5"/>
  <c r="CT13" i="5"/>
  <c r="BJ13" i="5"/>
  <c r="CH13" i="5"/>
  <c r="CC13" i="5"/>
  <c r="BR13" i="5"/>
  <c r="CX13" i="5"/>
  <c r="BU13" i="5"/>
  <c r="CD13" i="5"/>
  <c r="BV13" i="5"/>
  <c r="CL13" i="5"/>
  <c r="DQ13" i="5"/>
  <c r="AT13" i="5"/>
  <c r="BI13" i="5"/>
  <c r="BQ13" i="5"/>
  <c r="C13" i="5"/>
  <c r="BB13" i="5"/>
  <c r="BY13" i="5"/>
  <c r="DA13" i="5"/>
  <c r="G5" i="5"/>
  <c r="J5" i="5"/>
  <c r="C5" i="5"/>
  <c r="E5" i="5"/>
  <c r="D5" i="5"/>
  <c r="F5" i="5"/>
  <c r="K5" i="5"/>
  <c r="B13" i="5"/>
  <c r="B5" i="5"/>
  <c r="I5" i="5"/>
  <c r="L5" i="5"/>
  <c r="N5" i="5"/>
  <c r="H5" i="5"/>
  <c r="I19" i="13"/>
  <c r="F19" i="13"/>
  <c r="M18" i="13" s="1"/>
  <c r="G16" i="13"/>
  <c r="J19" i="13"/>
  <c r="J16" i="13"/>
  <c r="M12" i="13" l="1"/>
  <c r="L12" i="13" s="1"/>
  <c r="D5" i="20"/>
  <c r="D5" i="16"/>
  <c r="M13" i="13"/>
  <c r="L13" i="13" s="1"/>
  <c r="D5" i="19"/>
  <c r="D5" i="18"/>
  <c r="D5" i="17"/>
  <c r="M16" i="13"/>
  <c r="L16" i="13" s="1"/>
  <c r="L6" i="13"/>
  <c r="I13" i="13"/>
  <c r="I18" i="13"/>
  <c r="F9" i="13"/>
  <c r="L10" i="13"/>
  <c r="G6" i="13"/>
  <c r="F13" i="13"/>
  <c r="F8" i="13"/>
  <c r="I16" i="13"/>
  <c r="I17" i="13"/>
  <c r="C13" i="15"/>
  <c r="C16" i="15" s="1"/>
  <c r="F12" i="13"/>
  <c r="L14" i="13"/>
  <c r="L19" i="13"/>
  <c r="L18" i="13"/>
  <c r="F16" i="13"/>
  <c r="L8" i="13"/>
  <c r="G7" i="13"/>
  <c r="L11" i="13"/>
  <c r="I14" i="13"/>
  <c r="F10" i="13"/>
  <c r="L7" i="13"/>
  <c r="G19" i="13"/>
  <c r="C14" i="15" s="1"/>
  <c r="L9" i="13"/>
  <c r="F17" i="13"/>
  <c r="F18" i="13"/>
  <c r="L20" i="13"/>
  <c r="L17" i="13"/>
  <c r="I11" i="13"/>
  <c r="J7" i="13"/>
  <c r="I7" i="13" s="1"/>
  <c r="F20" i="13"/>
  <c r="J6" i="13"/>
  <c r="F11" i="13"/>
  <c r="I15" i="13"/>
  <c r="I12" i="13"/>
  <c r="I20" i="13"/>
  <c r="D19" i="16" l="1"/>
  <c r="E19" i="16" s="1"/>
  <c r="D18" i="16"/>
  <c r="E18" i="16" s="1"/>
  <c r="D21" i="16"/>
  <c r="E21" i="16" s="1"/>
  <c r="D17" i="16"/>
  <c r="E17" i="16" s="1"/>
  <c r="D16" i="16"/>
  <c r="E16" i="16" s="1"/>
  <c r="D20" i="16"/>
  <c r="E20" i="16" s="1"/>
  <c r="D20" i="18"/>
  <c r="E20" i="18" s="1"/>
  <c r="D16" i="18"/>
  <c r="E16" i="18" s="1"/>
  <c r="D19" i="18"/>
  <c r="E19" i="18" s="1"/>
  <c r="D18" i="18"/>
  <c r="E18" i="18" s="1"/>
  <c r="D21" i="18"/>
  <c r="E21" i="18" s="1"/>
  <c r="D17" i="18"/>
  <c r="E17" i="18" s="1"/>
  <c r="D21" i="20"/>
  <c r="E21" i="20" s="1"/>
  <c r="D16" i="20"/>
  <c r="E16" i="20" s="1"/>
  <c r="D20" i="20"/>
  <c r="E20" i="20" s="1"/>
  <c r="D19" i="20"/>
  <c r="E19" i="20" s="1"/>
  <c r="D17" i="20"/>
  <c r="E17" i="20" s="1"/>
  <c r="D18" i="20"/>
  <c r="E18" i="20" s="1"/>
  <c r="D20" i="19"/>
  <c r="E20" i="19" s="1"/>
  <c r="D16" i="19"/>
  <c r="E16" i="19" s="1"/>
  <c r="D21" i="19"/>
  <c r="E21" i="19" s="1"/>
  <c r="D18" i="19"/>
  <c r="E18" i="19" s="1"/>
  <c r="D19" i="19"/>
  <c r="E19" i="19" s="1"/>
  <c r="D17" i="19"/>
  <c r="E17" i="19" s="1"/>
  <c r="D22" i="17"/>
  <c r="E22" i="17" s="1"/>
  <c r="D19" i="17"/>
  <c r="E19" i="17" s="1"/>
  <c r="D16" i="17"/>
  <c r="E16" i="17" s="1"/>
  <c r="D21" i="17"/>
  <c r="E21" i="17" s="1"/>
  <c r="D18" i="17"/>
  <c r="E18" i="17" s="1"/>
  <c r="D17" i="17"/>
  <c r="E17" i="17" s="1"/>
  <c r="D20" i="17"/>
  <c r="E20" i="17" s="1"/>
  <c r="G21" i="13"/>
  <c r="E16" i="4" s="1"/>
  <c r="F21" i="13"/>
  <c r="F16" i="4" s="1"/>
  <c r="C15" i="15"/>
  <c r="C17" i="15" s="1"/>
  <c r="I6" i="13"/>
  <c r="J10" i="13"/>
  <c r="I10" i="13" s="1"/>
  <c r="J8" i="13"/>
  <c r="I8" i="13" s="1"/>
  <c r="J9" i="13"/>
  <c r="I9" i="13" s="1"/>
  <c r="F16" i="17" l="1"/>
  <c r="F17" i="17" s="1"/>
  <c r="E5" i="17" s="1"/>
  <c r="N6" i="11" s="1"/>
  <c r="F16" i="16"/>
  <c r="F17" i="16" s="1"/>
  <c r="E5" i="16" s="1"/>
  <c r="F16" i="19"/>
  <c r="F17" i="19" s="1"/>
  <c r="E5" i="19" s="1"/>
  <c r="F16" i="18"/>
  <c r="F17" i="18" s="1"/>
  <c r="E5" i="18" s="1"/>
  <c r="F16" i="20"/>
  <c r="F17" i="20" s="1"/>
  <c r="E5" i="20" s="1"/>
  <c r="J21" i="13"/>
  <c r="E17" i="4" s="1"/>
  <c r="I21" i="13"/>
  <c r="F17" i="4" s="1"/>
  <c r="J17" i="17" l="1"/>
  <c r="J18" i="17" s="1"/>
  <c r="K17" i="17"/>
  <c r="K18" i="17" s="1"/>
  <c r="M17" i="17"/>
  <c r="M18" i="17" s="1"/>
  <c r="N17" i="17"/>
  <c r="N18" i="17" s="1"/>
  <c r="O17" i="17"/>
  <c r="O18" i="17" s="1"/>
  <c r="I17" i="17"/>
  <c r="I18" i="17" s="1"/>
  <c r="L17" i="17"/>
  <c r="L18" i="17" s="1"/>
  <c r="N17" i="16"/>
  <c r="N18" i="16" s="1"/>
  <c r="K17" i="16"/>
  <c r="K18" i="16" s="1"/>
  <c r="J17" i="16"/>
  <c r="J18" i="16" s="1"/>
  <c r="L17" i="16"/>
  <c r="L18" i="16" s="1"/>
  <c r="M17" i="16"/>
  <c r="M18" i="16" s="1"/>
  <c r="I17" i="16"/>
  <c r="I18" i="16" s="1"/>
  <c r="N5" i="11"/>
  <c r="N8" i="11"/>
  <c r="M39" i="19"/>
  <c r="L39" i="19"/>
  <c r="J33" i="19"/>
  <c r="J34" i="19" s="1"/>
  <c r="L38" i="19"/>
  <c r="K38" i="19"/>
  <c r="K33" i="19"/>
  <c r="K34" i="19" s="1"/>
  <c r="I38" i="19"/>
  <c r="I39" i="19"/>
  <c r="N38" i="19"/>
  <c r="K39" i="19"/>
  <c r="M33" i="19"/>
  <c r="M34" i="19" s="1"/>
  <c r="J38" i="19"/>
  <c r="M38" i="19"/>
  <c r="I33" i="19"/>
  <c r="J39" i="19"/>
  <c r="L33" i="19"/>
  <c r="L34" i="19" s="1"/>
  <c r="L17" i="19"/>
  <c r="L18" i="19" s="1"/>
  <c r="K17" i="19"/>
  <c r="K18" i="19" s="1"/>
  <c r="I17" i="19"/>
  <c r="N17" i="19"/>
  <c r="N18" i="19" s="1"/>
  <c r="J17" i="19"/>
  <c r="J18" i="19" s="1"/>
  <c r="N7" i="11"/>
  <c r="N9" i="11" s="1"/>
  <c r="J37" i="18"/>
  <c r="M37" i="18"/>
  <c r="N37" i="18"/>
  <c r="K37" i="18"/>
  <c r="K32" i="18"/>
  <c r="K33" i="18" s="1"/>
  <c r="I37" i="18"/>
  <c r="L37" i="18"/>
  <c r="K38" i="18"/>
  <c r="M32" i="18"/>
  <c r="M33" i="18" s="1"/>
  <c r="M38" i="18"/>
  <c r="I38" i="18"/>
  <c r="J38" i="18"/>
  <c r="L38" i="18"/>
  <c r="I32" i="18"/>
  <c r="L32" i="18"/>
  <c r="L33" i="18" s="1"/>
  <c r="J32" i="18"/>
  <c r="J33" i="18" s="1"/>
  <c r="J17" i="18"/>
  <c r="J18" i="18" s="1"/>
  <c r="K17" i="18"/>
  <c r="K18" i="18" s="1"/>
  <c r="M17" i="18"/>
  <c r="M18" i="18" s="1"/>
  <c r="L17" i="18"/>
  <c r="L18" i="18" s="1"/>
  <c r="I17" i="18"/>
  <c r="I18" i="18" s="1"/>
  <c r="N17" i="18"/>
  <c r="N18" i="18" s="1"/>
  <c r="J17" i="20"/>
  <c r="J18" i="20" s="1"/>
  <c r="L17" i="20"/>
  <c r="L18" i="20" s="1"/>
  <c r="I17" i="20"/>
  <c r="I18" i="20" s="1"/>
  <c r="M17" i="20"/>
  <c r="M18" i="20" s="1"/>
  <c r="N17" i="20"/>
  <c r="N18" i="20" s="1"/>
  <c r="K17" i="20"/>
  <c r="K18" i="20" s="1"/>
  <c r="L19" i="17" l="1"/>
  <c r="L20" i="17" s="1"/>
  <c r="J19" i="17"/>
  <c r="J20" i="17" s="1"/>
  <c r="J21" i="17" s="1"/>
  <c r="I19" i="17"/>
  <c r="I20" i="17" s="1"/>
  <c r="P18" i="17"/>
  <c r="P21" i="17" s="1"/>
  <c r="M19" i="17" s="1"/>
  <c r="M20" i="17" s="1"/>
  <c r="J5" i="17" s="1"/>
  <c r="K19" i="17"/>
  <c r="K20" i="17" s="1"/>
  <c r="H5" i="17" s="1"/>
  <c r="O19" i="17"/>
  <c r="O20" i="17" s="1"/>
  <c r="L5" i="17" s="1"/>
  <c r="N19" i="20"/>
  <c r="N20" i="20" s="1"/>
  <c r="K5" i="20" s="1"/>
  <c r="L19" i="18"/>
  <c r="L20" i="18" s="1"/>
  <c r="L21" i="18" s="1"/>
  <c r="J19" i="16"/>
  <c r="J20" i="16" s="1"/>
  <c r="J21" i="16" s="1"/>
  <c r="L35" i="19"/>
  <c r="N19" i="18"/>
  <c r="N20" i="18" s="1"/>
  <c r="N21" i="18" s="1"/>
  <c r="O18" i="16"/>
  <c r="P18" i="16" s="1"/>
  <c r="M19" i="16" s="1"/>
  <c r="M20" i="16" s="1"/>
  <c r="I19" i="16"/>
  <c r="K19" i="16"/>
  <c r="K20" i="16" s="1"/>
  <c r="N19" i="16"/>
  <c r="N20" i="16" s="1"/>
  <c r="L19" i="16"/>
  <c r="L20" i="16" s="1"/>
  <c r="N19" i="17"/>
  <c r="N20" i="17" s="1"/>
  <c r="I5" i="17"/>
  <c r="L21" i="17"/>
  <c r="J19" i="20"/>
  <c r="J20" i="20" s="1"/>
  <c r="I34" i="19"/>
  <c r="O33" i="19"/>
  <c r="K35" i="19"/>
  <c r="I19" i="20"/>
  <c r="O18" i="20"/>
  <c r="O21" i="20" s="1"/>
  <c r="M19" i="20" s="1"/>
  <c r="M20" i="20" s="1"/>
  <c r="K19" i="18"/>
  <c r="K20" i="18" s="1"/>
  <c r="O32" i="18"/>
  <c r="I33" i="18"/>
  <c r="K19" i="20"/>
  <c r="K20" i="20" s="1"/>
  <c r="L19" i="20"/>
  <c r="L20" i="20" s="1"/>
  <c r="O18" i="18"/>
  <c r="O21" i="18" s="1"/>
  <c r="I19" i="18" s="1"/>
  <c r="N34" i="18"/>
  <c r="J19" i="18"/>
  <c r="J20" i="18" s="1"/>
  <c r="I18" i="19"/>
  <c r="J19" i="19" s="1"/>
  <c r="J20" i="19" s="1"/>
  <c r="O17" i="19"/>
  <c r="M35" i="19"/>
  <c r="J35" i="19"/>
  <c r="M21" i="17" l="1"/>
  <c r="G5" i="17"/>
  <c r="K21" i="17"/>
  <c r="N22" i="18"/>
  <c r="N21" i="20"/>
  <c r="M19" i="18"/>
  <c r="M20" i="18" s="1"/>
  <c r="M21" i="18" s="1"/>
  <c r="K19" i="19"/>
  <c r="K20" i="19" s="1"/>
  <c r="K22" i="19" s="1"/>
  <c r="L22" i="18"/>
  <c r="G5" i="16"/>
  <c r="Q19" i="17"/>
  <c r="Q20" i="17" s="1"/>
  <c r="K5" i="16"/>
  <c r="N11" i="11" s="1"/>
  <c r="M15" i="13" s="1"/>
  <c r="N21" i="16"/>
  <c r="M21" i="16"/>
  <c r="J5" i="16"/>
  <c r="N21" i="17"/>
  <c r="K5" i="17"/>
  <c r="I5" i="16"/>
  <c r="L21" i="16"/>
  <c r="H5" i="16"/>
  <c r="K21" i="16"/>
  <c r="P19" i="17"/>
  <c r="I20" i="16"/>
  <c r="O19" i="16"/>
  <c r="O20" i="16" s="1"/>
  <c r="J22" i="18"/>
  <c r="J21" i="18"/>
  <c r="L21" i="20"/>
  <c r="I5" i="20"/>
  <c r="O22" i="18"/>
  <c r="P22" i="18" s="1"/>
  <c r="N24" i="18" s="1"/>
  <c r="N25" i="18" s="1"/>
  <c r="J21" i="19"/>
  <c r="J22" i="19"/>
  <c r="I35" i="19"/>
  <c r="O34" i="19"/>
  <c r="P34" i="19" s="1"/>
  <c r="K21" i="20"/>
  <c r="H5" i="20"/>
  <c r="L34" i="18"/>
  <c r="I34" i="18"/>
  <c r="O33" i="18"/>
  <c r="P33" i="18" s="1"/>
  <c r="J34" i="18"/>
  <c r="K34" i="18"/>
  <c r="M21" i="20"/>
  <c r="J5" i="20"/>
  <c r="L19" i="19"/>
  <c r="L20" i="19" s="1"/>
  <c r="O18" i="19"/>
  <c r="O21" i="19" s="1"/>
  <c r="N19" i="19" s="1"/>
  <c r="N20" i="19" s="1"/>
  <c r="N35" i="19"/>
  <c r="M19" i="19"/>
  <c r="M20" i="19" s="1"/>
  <c r="M34" i="18"/>
  <c r="I20" i="18"/>
  <c r="K21" i="18"/>
  <c r="K22" i="18"/>
  <c r="I20" i="20"/>
  <c r="P19" i="20"/>
  <c r="P20" i="20" s="1"/>
  <c r="O19" i="20"/>
  <c r="I21" i="17"/>
  <c r="F5" i="17"/>
  <c r="G5" i="20"/>
  <c r="J21" i="20"/>
  <c r="K21" i="19" l="1"/>
  <c r="M22" i="18"/>
  <c r="P19" i="18"/>
  <c r="P20" i="18" s="1"/>
  <c r="O19" i="18"/>
  <c r="L15" i="13"/>
  <c r="L21" i="13" s="1"/>
  <c r="F15" i="4" s="1"/>
  <c r="M21" i="13"/>
  <c r="E15" i="4" s="1"/>
  <c r="I19" i="19"/>
  <c r="P19" i="19" s="1"/>
  <c r="P20" i="19" s="1"/>
  <c r="F5" i="16"/>
  <c r="I21" i="16"/>
  <c r="M21" i="19"/>
  <c r="M22" i="19"/>
  <c r="L21" i="19"/>
  <c r="L22" i="19"/>
  <c r="I21" i="20"/>
  <c r="F5" i="20"/>
  <c r="I22" i="18"/>
  <c r="I21" i="18"/>
  <c r="O34" i="18"/>
  <c r="N21" i="19"/>
  <c r="N22" i="19"/>
  <c r="O35" i="19"/>
  <c r="J23" i="18"/>
  <c r="J24" i="18" s="1"/>
  <c r="J25" i="18" s="1"/>
  <c r="K23" i="18"/>
  <c r="K24" i="18" s="1"/>
  <c r="K25" i="18" s="1"/>
  <c r="L23" i="18"/>
  <c r="L24" i="18" s="1"/>
  <c r="L25" i="18" s="1"/>
  <c r="M23" i="18"/>
  <c r="M24" i="18" s="1"/>
  <c r="M25" i="18" s="1"/>
  <c r="I23" i="18"/>
  <c r="I24" i="18" s="1"/>
  <c r="O19" i="19" l="1"/>
  <c r="I20" i="19"/>
  <c r="I21" i="19" s="1"/>
  <c r="I25" i="18"/>
  <c r="J26" i="18" s="1"/>
  <c r="G5" i="18" s="1"/>
  <c r="O24" i="18"/>
  <c r="O22" i="19"/>
  <c r="P22" i="19" s="1"/>
  <c r="N24" i="19" s="1"/>
  <c r="N25" i="19" s="1"/>
  <c r="N26" i="19" s="1"/>
  <c r="J5" i="19" s="1"/>
  <c r="O23" i="18"/>
  <c r="I22" i="19" l="1"/>
  <c r="K26" i="18"/>
  <c r="H5" i="18" s="1"/>
  <c r="L26" i="18"/>
  <c r="I5" i="18" s="1"/>
  <c r="J23" i="19"/>
  <c r="J24" i="19" s="1"/>
  <c r="J25" i="19" s="1"/>
  <c r="M23" i="19"/>
  <c r="M24" i="19" s="1"/>
  <c r="M25" i="19" s="1"/>
  <c r="L23" i="19"/>
  <c r="L24" i="19" s="1"/>
  <c r="L25" i="19" s="1"/>
  <c r="I23" i="19"/>
  <c r="K23" i="19"/>
  <c r="K24" i="19" s="1"/>
  <c r="K25" i="19" s="1"/>
  <c r="O25" i="18"/>
  <c r="P25" i="18" s="1"/>
  <c r="M26" i="18" s="1"/>
  <c r="J5" i="18" s="1"/>
  <c r="N26" i="18"/>
  <c r="K5" i="18" s="1"/>
  <c r="I26" i="18" l="1"/>
  <c r="F5" i="18" s="1"/>
  <c r="O23" i="19"/>
  <c r="I24" i="19"/>
  <c r="O26" i="18" l="1"/>
  <c r="O24" i="19"/>
  <c r="I25" i="19"/>
  <c r="O25" i="19" l="1"/>
  <c r="P25" i="19" s="1"/>
  <c r="I26" i="19" s="1"/>
  <c r="L26" i="19"/>
  <c r="I5" i="19" s="1"/>
  <c r="M26" i="19"/>
  <c r="R5" i="19" s="1"/>
  <c r="K26" i="19"/>
  <c r="H5" i="19" s="1"/>
  <c r="J26" i="19"/>
  <c r="G5" i="19" s="1"/>
  <c r="O26" i="19" l="1"/>
  <c r="F5" i="19"/>
</calcChain>
</file>

<file path=xl/comments1.xml><?xml version="1.0" encoding="utf-8"?>
<comments xmlns="http://schemas.openxmlformats.org/spreadsheetml/2006/main">
  <authors>
    <author>Leandro Oliveira</author>
  </authors>
  <commentList>
    <comment ref="G5" authorId="0" shapeId="0">
      <text>
        <r>
          <rPr>
            <sz val="9"/>
            <color indexed="81"/>
            <rFont val="Segoe UI"/>
            <family val="2"/>
          </rPr>
          <t xml:space="preserve">Informe a Receita Anual com Venda de Mercadorias
</t>
        </r>
      </text>
    </comment>
    <comment ref="J5" authorId="0" shapeId="0">
      <text>
        <r>
          <rPr>
            <sz val="9"/>
            <color indexed="81"/>
            <rFont val="Segoe UI"/>
            <family val="2"/>
          </rPr>
          <t>Informe a despesa anual com a folha de pagamento, sem os encargos trabalhistas.</t>
        </r>
      </text>
    </comment>
    <comment ref="J6" authorId="0" shapeId="0">
      <text>
        <r>
          <rPr>
            <sz val="9"/>
            <color indexed="81"/>
            <rFont val="Segoe UI"/>
            <family val="2"/>
          </rPr>
          <t>Informe a despesa anual das compras de insumos utilizados na produção e/ou mercadorias para revendas, adquiridas no Estado onde a empresa possui estabelecimento.</t>
        </r>
      </text>
    </comment>
    <comment ref="G7" authorId="0" shapeId="0">
      <text>
        <r>
          <rPr>
            <sz val="9"/>
            <color indexed="81"/>
            <rFont val="Segoe UI"/>
            <family val="2"/>
          </rPr>
          <t>Informe a Receita Anual com Venda de Produtos</t>
        </r>
      </text>
    </comment>
    <comment ref="J7" authorId="0" shapeId="0">
      <text>
        <r>
          <rPr>
            <sz val="9"/>
            <color indexed="81"/>
            <rFont val="Segoe UI"/>
            <family val="2"/>
          </rPr>
          <t xml:space="preserve">Informe a despesa anual das compras de insumos utilizados na produção e/ou mercadorias para revendas, adquiridasem outro Estado onde a empresa possui estabelecimento. </t>
        </r>
      </text>
    </comment>
    <comment ref="G8" authorId="0" shapeId="0">
      <text>
        <r>
          <rPr>
            <sz val="9"/>
            <color indexed="81"/>
            <rFont val="Segoe UI"/>
            <family val="2"/>
          </rPr>
          <t xml:space="preserve">Informe a receita anual com a venda de serviços, nos casos onde a atividade for de:
- creche, pré-escola e estabelecimento de ensino fundamental, escolas técnicas, profissionais e de ensino médio, de línguas estrangeiras, de artes, cursos técnicos de pilotagem, preparatórios para concursos, gerenciais e escolas livres;
- agência terceirizada de correios;
- agência de viagem e turismo;
- centro de formação de condutores de veículos automotores de transporte terrestre de passageiros e de carga; 
- agência lotérica;
- serviços de instalação, de reparos e de manutenção em geral, bem como de usinagem, solda, tratamento e revestimento em metais;
- transporte municipal de passageiros;
- escritório de serviços contábeis;
- produção cinematográficas, audiovisuais, artísticas e culturais, sua exibição ou apresentação, inclusive no caso de música, literatura, artes cênicas, artes visuais, cinematográficas e audiovisuais;
- fisioterapia;
- corretagem de seguros
- demais serviços que NÃO se enquadrem na definição de atividade intelectual, técnica, científica, desportiva, artística ou cultural, e que NÃO se enquadrem nos Anexos IV, V e VI.
</t>
        </r>
      </text>
    </comment>
    <comment ref="J8" authorId="0" shapeId="0">
      <text>
        <r>
          <rPr>
            <sz val="9"/>
            <color indexed="81"/>
            <rFont val="Segoe UI"/>
            <family val="2"/>
          </rPr>
          <t>Informe a despesa anual das compras de insumos utilizados na produção e/ou mercadorias para revendas com conteúdo de importação que possui aliquota específica de ICMS</t>
        </r>
      </text>
    </comment>
    <comment ref="G9" authorId="0" shapeId="0">
      <text>
        <r>
          <rPr>
            <sz val="9"/>
            <color indexed="81"/>
            <rFont val="Segoe UI"/>
            <family val="2"/>
          </rPr>
          <t>Informe a receita anual com a venda de serviços, nos casos onde a atividade for de:
- construção de imóveis e obras de engenharia em geral, inclusive sob a forma de subempreitada, execução de projetos e serviços de paisagismo, bem como decoração de interiores;
- serviços de vigilância, limpeza ou conservação;
- serviços advocatícios.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9" authorId="0" shapeId="0">
      <text>
        <r>
          <rPr>
            <sz val="9"/>
            <color indexed="81"/>
            <rFont val="Segoe UI"/>
            <family val="2"/>
          </rPr>
          <t>Informe o valor anual de Serviços tomados classificados como insumos na prestação de Serviços</t>
        </r>
      </text>
    </comment>
    <comment ref="G10" authorId="0" shapeId="0">
      <text>
        <r>
          <rPr>
            <sz val="9"/>
            <color indexed="81"/>
            <rFont val="Segoe UI"/>
            <family val="2"/>
          </rPr>
          <t xml:space="preserve">Informe a receita anual com a venda de serviços, nos casos onde a atividade for de:
- administração e locação de imóveis de terceiros;
- academias de dança, de capoeira, de ioga e de artes marciais;
- academias de atividades físicas, desportivas, de natação e escolas de esportes;
- elaboração de programas de computadores, inclusive jogos eletrônicos, desde que desenvolvidos em estabelecimento do optante;
- licenciamento ou cessão de direitos de uso de programas de computação;
- planejamento, confecção, manutenção e atualização de páginas eletrônicas, desde que realizados em estabelecimento do optante;
- empresas montadoras de estandes para feiras;
- laboratórios de análises clinicas ou de patologia clínica;
- serviços de tomografia, diagnósticos médicos por imagem, registros gráficos e métodos óticos, bem como ressonância magnética;
- serviços de prótese em geral. 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0" authorId="0" shapeId="0">
      <text>
        <r>
          <rPr>
            <sz val="9"/>
            <color indexed="81"/>
            <rFont val="Segoe UI"/>
            <family val="2"/>
          </rPr>
          <t xml:space="preserve">Informe a despesa anual com energia elétrica, alugueis, fretes e carretos pagos a outras pessoas jurídicas. </t>
        </r>
      </text>
    </comment>
    <comment ref="G11" authorId="0" shapeId="0">
      <text>
        <r>
          <rPr>
            <sz val="9"/>
            <color indexed="81"/>
            <rFont val="Segoe UI"/>
            <family val="2"/>
          </rPr>
          <t xml:space="preserve">Informe a receita anual com a venda de serviços, nos casos onde a atividade for de:
- medicina, inclusive laboratorial e enfermagem;
- medicina veterinária;
- odontologia;
- psicologia, psicanálise, terapia ocupacional, acupuntura, podologia, fonoaudiologia, clinicas de nutrição e de vacinação e bancos de leite;
- serviços de comissária, de despachantes, de tradução e de interpretação;
- arquitetura, engenharia, medição, cartografia, topografia, geologia, geodésia, testes, suporte e análises técnicas e tecnológicas, pesquisa, design, desenho e agronomia;
- representação comercial e demais atividades de intermediação de negócios e serviços de terceiros;
- perícia, leilão e avaliação;
- auditoria, economia, consultoria, gestão, organização, controle e administração;
- jornalismo e publicidade;
- agenciamento, exceto de mão de obra;
- demais serviços que se enquadrem na definição de atividade intelectual, técnica, científica, desportiva, artística ou cultural. </t>
        </r>
      </text>
    </comment>
    <comment ref="J11" authorId="0" shapeId="0">
      <text>
        <r>
          <rPr>
            <sz val="9"/>
            <color indexed="81"/>
            <rFont val="Segoe UI"/>
            <family val="2"/>
          </rPr>
          <t xml:space="preserve">Informe a despesa anual com depreciação de bens do ativo imobilizado. Caso não saiba o valor exato, informe o valor de 20% do total de ativos imobilizados da empresa. </t>
        </r>
      </text>
    </comment>
    <comment ref="J12" authorId="0" shapeId="0">
      <text>
        <r>
          <rPr>
            <sz val="9"/>
            <color indexed="81"/>
            <rFont val="Segoe UI"/>
            <family val="2"/>
          </rPr>
          <t>Informe o valor anual de todas as demais despesas incorridas na operação da empresa, como por exemplo: água, telefone, seguros, vigilância, materiais para escritório, limpeza, serviços tomados, despesas com informática, etc. 
Não informe o valor dos tributos: PIS, COFINS, CSLL, IPI, ISS, ICMS, Simples Nacional, INSS e FGTS.</t>
        </r>
      </text>
    </comment>
  </commentList>
</comments>
</file>

<file path=xl/sharedStrings.xml><?xml version="1.0" encoding="utf-8"?>
<sst xmlns="http://schemas.openxmlformats.org/spreadsheetml/2006/main" count="381" uniqueCount="148">
  <si>
    <t xml:space="preserve"> </t>
    <phoneticPr fontId="4" type="noConversion"/>
  </si>
  <si>
    <t>anual</t>
  </si>
  <si>
    <t>mensal</t>
  </si>
  <si>
    <t>Menu</t>
  </si>
  <si>
    <t>Início</t>
  </si>
  <si>
    <t xml:space="preserve">  1. Entrada de Dados</t>
  </si>
  <si>
    <t>Comércio</t>
  </si>
  <si>
    <t>Serviços Tabela III</t>
  </si>
  <si>
    <t>Serviços Tabela IV</t>
  </si>
  <si>
    <t>Serviços Tabela V</t>
  </si>
  <si>
    <t>Total das Vendas</t>
  </si>
  <si>
    <t>Salários</t>
  </si>
  <si>
    <t>Compras Internas</t>
  </si>
  <si>
    <t>Compras Interestaduais</t>
  </si>
  <si>
    <t>Energia/Aluguel/Fretes</t>
  </si>
  <si>
    <t>Demais Despesas</t>
  </si>
  <si>
    <t xml:space="preserve">Total de Despesas </t>
  </si>
  <si>
    <t>TRIBUTOS</t>
  </si>
  <si>
    <t>IPI</t>
  </si>
  <si>
    <t>ISS</t>
  </si>
  <si>
    <t>ICMS</t>
  </si>
  <si>
    <t>RAT</t>
  </si>
  <si>
    <t>CPP</t>
  </si>
  <si>
    <t>LUCRO PRESUMIDO</t>
  </si>
  <si>
    <t>LUCRO REAL</t>
  </si>
  <si>
    <t>SIMPLES NACIONAL</t>
  </si>
  <si>
    <t>PIS/PASEP</t>
  </si>
  <si>
    <t>COFINS</t>
  </si>
  <si>
    <t>IRPJ</t>
  </si>
  <si>
    <t>ADICIONAL IRPJ</t>
  </si>
  <si>
    <t>CSLL</t>
  </si>
  <si>
    <t>INSS</t>
  </si>
  <si>
    <t>INSS TERCEIROS</t>
  </si>
  <si>
    <t>TABELA I</t>
  </si>
  <si>
    <t>TABELA II</t>
  </si>
  <si>
    <t>TABELA III</t>
  </si>
  <si>
    <t>TABELA IV</t>
  </si>
  <si>
    <t>TABELA V</t>
  </si>
  <si>
    <t>ICMS INTERNO</t>
  </si>
  <si>
    <t>ICMS INTEREST.</t>
  </si>
  <si>
    <t>Valor</t>
  </si>
  <si>
    <t>FGTS</t>
  </si>
  <si>
    <t>IPI ENTRADA</t>
  </si>
  <si>
    <t>Compras Importados</t>
  </si>
  <si>
    <t>ICMS IMPORT.</t>
  </si>
  <si>
    <t>Indústria</t>
  </si>
  <si>
    <t>Depreciação</t>
  </si>
  <si>
    <t>Cofins</t>
  </si>
  <si>
    <t>PIS/Pasep</t>
  </si>
  <si>
    <t>1. Entrada de dados</t>
  </si>
  <si>
    <t>2. Aliquota de Impostos</t>
  </si>
  <si>
    <t xml:space="preserve">  2. Aliquota de Imposto</t>
  </si>
  <si>
    <t xml:space="preserve">  3. Resultados</t>
  </si>
  <si>
    <t>Dif Aliquota - ICMS</t>
  </si>
  <si>
    <t>NOME DA EMPRESA:</t>
  </si>
  <si>
    <t>ÁREA DE ATUAÇÃO:</t>
  </si>
  <si>
    <t>TRIBUTOS EM GERAL</t>
  </si>
  <si>
    <t>TRIBUTOS LUCRO PRESUMIDO</t>
  </si>
  <si>
    <t>TRIBUTOS LUCRO REAL</t>
  </si>
  <si>
    <t>TRIBUTOS SIMPLES NACIONAL</t>
  </si>
  <si>
    <t>(r)&lt;0,10</t>
  </si>
  <si>
    <t>0,10=&lt; (r) e (r) &lt; 0,15</t>
  </si>
  <si>
    <t>0,15=&lt; (r) e (r) &lt; 0,20</t>
  </si>
  <si>
    <t>0,20=&lt; (r) e (r) &lt; 0,25</t>
  </si>
  <si>
    <t>0,25=&lt; (r) e (r) &lt; 0,30</t>
  </si>
  <si>
    <t>0,30=&lt; (r) e (r) &lt; 0,35</t>
  </si>
  <si>
    <t>0,35=&lt; (r) e (r) &lt; 0,40</t>
  </si>
  <si>
    <t>(r)&gt;= 0,40</t>
  </si>
  <si>
    <t>ENQUADRAMENTO ATUAL:</t>
  </si>
  <si>
    <t xml:space="preserve">DESONERADO: </t>
  </si>
  <si>
    <t>Sim</t>
  </si>
  <si>
    <t>Não</t>
  </si>
  <si>
    <t>MEI</t>
  </si>
  <si>
    <t>Simples Nacional</t>
  </si>
  <si>
    <t>Lucro Presumido</t>
  </si>
  <si>
    <t>Lucro Real</t>
  </si>
  <si>
    <t>ALIQUOTA DESONERAÇÂO</t>
  </si>
  <si>
    <t>RESUMO DE CARGA TRIBUTÁRIA</t>
  </si>
  <si>
    <t>Insumo para P.Serviços</t>
  </si>
  <si>
    <t>enquadramento</t>
  </si>
  <si>
    <t>valor dos impostos</t>
  </si>
  <si>
    <t>Folha Total</t>
  </si>
  <si>
    <t>Relação r</t>
  </si>
  <si>
    <t>3. Resultado dos Impostos</t>
  </si>
  <si>
    <t xml:space="preserve">  3. Resultado dos Impostos</t>
  </si>
  <si>
    <t>REFERENCIA CUSTOS</t>
  </si>
  <si>
    <t>MARKUP MULTIPLICADOR</t>
  </si>
  <si>
    <t>Faturamento</t>
  </si>
  <si>
    <t>0</t>
  </si>
  <si>
    <t>180000,01</t>
  </si>
  <si>
    <t>360000,01</t>
  </si>
  <si>
    <t>540000,01</t>
  </si>
  <si>
    <t>720000,01</t>
  </si>
  <si>
    <t>900000,01</t>
  </si>
  <si>
    <t>1080000,01</t>
  </si>
  <si>
    <t>1260000,01</t>
  </si>
  <si>
    <t>1440000,01</t>
  </si>
  <si>
    <t>1620000,01</t>
  </si>
  <si>
    <t>1800000,01</t>
  </si>
  <si>
    <t>1980000,01</t>
  </si>
  <si>
    <t>2160000,01</t>
  </si>
  <si>
    <t>2340000,01</t>
  </si>
  <si>
    <t>2520000,01</t>
  </si>
  <si>
    <t>2700000,01</t>
  </si>
  <si>
    <t>2880000,01</t>
  </si>
  <si>
    <t>3060000,01</t>
  </si>
  <si>
    <t>3240000,01</t>
  </si>
  <si>
    <t>3420000,01</t>
  </si>
  <si>
    <t>Corresp FAT</t>
  </si>
  <si>
    <t>Corresp R</t>
  </si>
  <si>
    <t>CPRB</t>
  </si>
  <si>
    <t>% tributos s/ Fat.</t>
  </si>
  <si>
    <t>% s/ Fat.</t>
  </si>
  <si>
    <t>Exemplo</t>
  </si>
  <si>
    <t>SERVIÇOS</t>
  </si>
  <si>
    <t>Comércio - ST Substituido</t>
  </si>
  <si>
    <t>TABELA I s/ICMS</t>
  </si>
  <si>
    <t>Receita Bruta utimos 12 meses</t>
  </si>
  <si>
    <t>alíquota efetiva</t>
  </si>
  <si>
    <t>PERCENTUAIS EFETIVOS DOS TRIBUTOS</t>
  </si>
  <si>
    <t>digite a Renda Bruta Tributária para 12 meses - &gt;</t>
  </si>
  <si>
    <t>PERCENTUAIS DE REPARTIÇÃO DOS TRIBUTOS</t>
  </si>
  <si>
    <t>Lim Inferior</t>
  </si>
  <si>
    <t>Lim Superior</t>
  </si>
  <si>
    <t>Alíq Nominal</t>
  </si>
  <si>
    <t>VLR Deduzir</t>
  </si>
  <si>
    <t>1ª faixa</t>
  </si>
  <si>
    <t>2ª faixa</t>
  </si>
  <si>
    <t>3ª faixa</t>
  </si>
  <si>
    <t>4ª faixa</t>
  </si>
  <si>
    <t>5ª faixa</t>
  </si>
  <si>
    <t>6ª faixa</t>
  </si>
  <si>
    <t>digite a RBT12 no próximo campo - &gt;</t>
  </si>
  <si>
    <t>7ª faixa</t>
  </si>
  <si>
    <t>limite para 4,99 de ISS</t>
  </si>
  <si>
    <t>-</t>
  </si>
  <si>
    <t>RECEITAS 12 MESES</t>
  </si>
  <si>
    <t>GASTOS 12 MESES</t>
  </si>
  <si>
    <t>Planilha - Planejamento Tributário - V11</t>
  </si>
  <si>
    <t>Versões</t>
  </si>
  <si>
    <t xml:space="preserve">  Sobre a L&amp;M Contabilidade</t>
  </si>
  <si>
    <t>SOBRE A L&amp;M CONTABILIDADE</t>
  </si>
  <si>
    <t>ANEXO V - Planilha de Alíquota do Simples Nacional 2019</t>
  </si>
  <si>
    <t>ANEXO IV - Planilha de Alíquota do Simples Nacional 2019</t>
  </si>
  <si>
    <t>ANEXO III - Planilha de Alíquota do Simples Nacional 2019</t>
  </si>
  <si>
    <t>ANEXO II - Planilha de Alíquota do Simples Nacional 2019</t>
  </si>
  <si>
    <t>ANEXO I - Planilha de Alíquota do Simples Nacional 2019</t>
  </si>
  <si>
    <t xml:space="preserve">V11 - 17/02/2019 - Ajustado o cálculo para Simples Nacional com as tabelas após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</si>
</sst>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#,##0.00_ ;\-#,##0.00\ "/>
    <numFmt numFmtId="167" formatCode="0.0%"/>
    <numFmt numFmtId="168" formatCode="_-&quot;R$&quot;\ * #,##0.00_-;\-&quot;R$&quot;\ * #,##0.00_-;_-&quot;R$&quot;\ * &quot;-&quot;??_-;_-@"/>
    <numFmt numFmtId="169" formatCode="0.000%"/>
    <numFmt numFmtId="170" formatCode="0.00000%"/>
    <numFmt numFmtId="171" formatCode="0.000000%"/>
    <numFmt numFmtId="172" formatCode="0.0000%"/>
    <numFmt numFmtId="173" formatCode="_-* #,##0.00_-;\-* #,##0.00_-;_-* &quot;-&quot;??_-;_-@"/>
    <numFmt numFmtId="174" formatCode="_-* #,##0_-;\-* #,##0_-;_-* &quot;-&quot;??_-;_-@"/>
    <numFmt numFmtId="175" formatCode="0.0000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libri (Corpo)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28"/>
      <color rgb="FF333333"/>
      <name val="Calibri"/>
      <family val="2"/>
      <scheme val="minor"/>
    </font>
    <font>
      <sz val="18"/>
      <color rgb="FF333333"/>
      <name val="Calibri"/>
      <family val="2"/>
      <scheme val="minor"/>
    </font>
    <font>
      <sz val="28"/>
      <color rgb="FF333333"/>
      <name val="Calibri"/>
      <family val="2"/>
      <scheme val="minor"/>
    </font>
    <font>
      <b/>
      <sz val="48"/>
      <color rgb="FF333333"/>
      <name val="Calibri"/>
      <family val="2"/>
      <scheme val="minor"/>
    </font>
    <font>
      <b/>
      <sz val="11"/>
      <color theme="0"/>
      <name val="Calibri (Corpo)"/>
    </font>
    <font>
      <sz val="10"/>
      <color theme="0"/>
      <name val="Calibri (Corpo)"/>
    </font>
    <font>
      <u/>
      <sz val="11"/>
      <color theme="1"/>
      <name val="Calibri"/>
      <family val="2"/>
      <scheme val="minor"/>
    </font>
    <font>
      <sz val="2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8"/>
      <color rgb="FF333333"/>
      <name val="Calibri"/>
    </font>
    <font>
      <sz val="11"/>
      <name val="Calibri"/>
    </font>
    <font>
      <b/>
      <sz val="18"/>
      <color rgb="FF2687E9"/>
      <name val="Arial"/>
    </font>
    <font>
      <b/>
      <sz val="12"/>
      <color rgb="FFFFFFFF"/>
      <name val="Calibri"/>
    </font>
    <font>
      <sz val="11"/>
      <color rgb="FF000000"/>
      <name val="Open Sans"/>
    </font>
    <font>
      <b/>
      <sz val="11"/>
      <color rgb="FFFFFFFF"/>
      <name val="Calibri"/>
    </font>
    <font>
      <u/>
      <sz val="11"/>
      <color rgb="FF0563C1"/>
      <name val="Calibri"/>
    </font>
    <font>
      <u/>
      <sz val="10"/>
      <color rgb="FFFFFFFF"/>
      <name val="Calibri"/>
    </font>
    <font>
      <u/>
      <sz val="10"/>
      <color rgb="FF0000FF"/>
      <name val="Calibri"/>
    </font>
    <font>
      <sz val="10"/>
      <color rgb="FFFFFFFF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u/>
      <sz val="18"/>
      <color rgb="FF000000"/>
      <name val="Calibri"/>
    </font>
    <font>
      <sz val="11"/>
      <color rgb="FF000000"/>
      <name val="Arial"/>
    </font>
    <font>
      <sz val="12"/>
      <color rgb="FFFFFFFF"/>
      <name val="Calibri"/>
    </font>
    <font>
      <sz val="9"/>
      <color rgb="FF000000"/>
      <name val="Arial"/>
    </font>
    <font>
      <b/>
      <sz val="16"/>
      <color rgb="FF000000"/>
      <name val="Calibri"/>
    </font>
    <font>
      <strike/>
      <sz val="16"/>
      <color rgb="FF000000"/>
      <name val="Calibri"/>
    </font>
    <font>
      <b/>
      <strike/>
      <u/>
      <sz val="20"/>
      <color rgb="FFFFFFFF"/>
      <name val="Calibri"/>
    </font>
    <font>
      <b/>
      <sz val="12"/>
      <color rgb="FFFFC000"/>
      <name val="Calibri (Corpo)"/>
    </font>
    <font>
      <sz val="11"/>
      <color rgb="FFFFC000"/>
      <name val="Calibri"/>
      <family val="2"/>
      <scheme val="minor"/>
    </font>
    <font>
      <b/>
      <sz val="11"/>
      <color rgb="FFFFC000"/>
      <name val="Calibri (Corpo)"/>
    </font>
    <font>
      <sz val="10"/>
      <color rgb="FFFFC000"/>
      <name val="Calibri (Corpo)"/>
    </font>
    <font>
      <sz val="14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FFC000"/>
      <name val="Calibri corpo"/>
    </font>
    <font>
      <sz val="10"/>
      <color theme="1"/>
      <name val="Arial"/>
      <family val="2"/>
    </font>
    <font>
      <b/>
      <sz val="11"/>
      <color rgb="FFFFC000"/>
      <name val="Arial"/>
      <family val="2"/>
    </font>
    <font>
      <sz val="11"/>
      <color rgb="FFFFC000"/>
      <name val="Calibri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6"/>
      <color theme="1"/>
      <name val="Arial"/>
      <family val="2"/>
    </font>
    <font>
      <sz val="11"/>
      <color theme="0"/>
      <name val="Calibri"/>
      <family val="2"/>
    </font>
    <font>
      <sz val="18"/>
      <color rgb="FF333333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  <fill>
      <patternFill patternType="solid">
        <fgColor theme="1"/>
        <bgColor rgb="FF5899D4"/>
      </patternFill>
    </fill>
    <fill>
      <patternFill patternType="solid">
        <fgColor theme="1"/>
        <bgColor rgb="FF5B9BD5"/>
      </patternFill>
    </fill>
    <fill>
      <patternFill patternType="solid">
        <fgColor theme="1" tint="0.499984740745262"/>
        <bgColor rgb="FFE8EDF9"/>
      </patternFill>
    </fill>
    <fill>
      <patternFill patternType="solid">
        <fgColor theme="0" tint="-0.14999847407452621"/>
        <bgColor rgb="FFF6F8FB"/>
      </patternFill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DCE4F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5">
    <xf numFmtId="0" fontId="0" fillId="0" borderId="0"/>
    <xf numFmtId="0" fontId="8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3" fillId="0" borderId="0"/>
  </cellStyleXfs>
  <cellXfs count="226">
    <xf numFmtId="0" fontId="0" fillId="0" borderId="0" xfId="0"/>
    <xf numFmtId="0" fontId="9" fillId="0" borderId="0" xfId="0" applyFont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0" fillId="0" borderId="0" xfId="0" applyNumberFormat="1"/>
    <xf numFmtId="0" fontId="10" fillId="4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8" fillId="4" borderId="0" xfId="1" applyFill="1" applyProtection="1"/>
    <xf numFmtId="0" fontId="14" fillId="0" borderId="0" xfId="1" applyFont="1" applyFill="1"/>
    <xf numFmtId="0" fontId="15" fillId="4" borderId="0" xfId="1" applyFont="1" applyFill="1" applyAlignment="1" applyProtection="1"/>
    <xf numFmtId="0" fontId="8" fillId="4" borderId="0" xfId="1" applyFill="1"/>
    <xf numFmtId="0" fontId="8" fillId="0" borderId="0" xfId="1"/>
    <xf numFmtId="0" fontId="16" fillId="0" borderId="0" xfId="1" applyFont="1" applyFill="1"/>
    <xf numFmtId="0" fontId="17" fillId="0" borderId="0" xfId="1" applyFont="1" applyFill="1"/>
    <xf numFmtId="0" fontId="8" fillId="3" borderId="0" xfId="1" applyFill="1" applyProtection="1"/>
    <xf numFmtId="0" fontId="15" fillId="3" borderId="0" xfId="1" applyFont="1" applyFill="1" applyAlignment="1" applyProtection="1"/>
    <xf numFmtId="0" fontId="20" fillId="0" borderId="0" xfId="1" applyFont="1"/>
    <xf numFmtId="0" fontId="12" fillId="0" borderId="0" xfId="0" applyFont="1" applyFill="1" applyBorder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9" fontId="9" fillId="4" borderId="0" xfId="2" applyFont="1" applyFill="1" applyBorder="1" applyAlignment="1">
      <alignment horizontal="left" vertical="center"/>
    </xf>
    <xf numFmtId="9" fontId="12" fillId="4" borderId="0" xfId="2" applyFont="1" applyFill="1" applyBorder="1" applyAlignment="1">
      <alignment horizontal="left" vertical="center"/>
    </xf>
    <xf numFmtId="10" fontId="9" fillId="4" borderId="0" xfId="2" applyNumberFormat="1" applyFont="1" applyFill="1" applyBorder="1" applyAlignment="1">
      <alignment horizontal="left" vertical="center"/>
    </xf>
    <xf numFmtId="10" fontId="9" fillId="4" borderId="0" xfId="2" applyNumberFormat="1" applyFont="1" applyFill="1" applyBorder="1" applyAlignment="1">
      <alignment horizontal="center" vertical="center"/>
    </xf>
    <xf numFmtId="165" fontId="9" fillId="4" borderId="0" xfId="3" applyFont="1" applyFill="1" applyBorder="1" applyAlignment="1">
      <alignment horizontal="left" vertical="center"/>
    </xf>
    <xf numFmtId="10" fontId="9" fillId="4" borderId="0" xfId="0" applyNumberFormat="1" applyFont="1" applyFill="1" applyBorder="1" applyAlignment="1">
      <alignment horizontal="center" vertical="center"/>
    </xf>
    <xf numFmtId="165" fontId="11" fillId="4" borderId="0" xfId="3" applyFont="1" applyFill="1" applyBorder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10" fontId="9" fillId="4" borderId="7" xfId="2" applyNumberFormat="1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10" fontId="12" fillId="4" borderId="1" xfId="0" applyNumberFormat="1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left" vertical="center"/>
    </xf>
    <xf numFmtId="165" fontId="12" fillId="4" borderId="1" xfId="3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10" fontId="9" fillId="4" borderId="1" xfId="2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165" fontId="9" fillId="4" borderId="9" xfId="3" applyFont="1" applyFill="1" applyBorder="1" applyAlignment="1">
      <alignment horizontal="left" vertical="center"/>
    </xf>
    <xf numFmtId="165" fontId="9" fillId="4" borderId="7" xfId="3" applyFont="1" applyFill="1" applyBorder="1" applyAlignment="1">
      <alignment horizontal="left" vertical="center"/>
    </xf>
    <xf numFmtId="165" fontId="12" fillId="4" borderId="9" xfId="0" applyNumberFormat="1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10" fontId="9" fillId="6" borderId="0" xfId="2" applyNumberFormat="1" applyFont="1" applyFill="1" applyBorder="1" applyAlignment="1">
      <alignment horizontal="left" vertical="center"/>
    </xf>
    <xf numFmtId="9" fontId="9" fillId="6" borderId="0" xfId="2" applyFont="1" applyFill="1" applyBorder="1" applyAlignment="1">
      <alignment horizontal="left" vertical="center"/>
    </xf>
    <xf numFmtId="9" fontId="12" fillId="6" borderId="0" xfId="2" applyFont="1" applyFill="1" applyBorder="1" applyAlignment="1">
      <alignment horizontal="left" vertical="center"/>
    </xf>
    <xf numFmtId="10" fontId="9" fillId="6" borderId="1" xfId="2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166" fontId="9" fillId="0" borderId="0" xfId="0" applyNumberFormat="1" applyFont="1" applyBorder="1" applyAlignment="1">
      <alignment horizontal="left" vertical="center"/>
    </xf>
    <xf numFmtId="165" fontId="22" fillId="0" borderId="12" xfId="3" applyFont="1" applyBorder="1" applyAlignment="1">
      <alignment vertical="center" wrapText="1"/>
    </xf>
    <xf numFmtId="165" fontId="22" fillId="0" borderId="9" xfId="3" applyFont="1" applyBorder="1" applyAlignment="1">
      <alignment vertical="center" wrapText="1"/>
    </xf>
    <xf numFmtId="165" fontId="22" fillId="0" borderId="13" xfId="3" applyFont="1" applyBorder="1" applyAlignment="1">
      <alignment vertical="center" wrapText="1"/>
    </xf>
    <xf numFmtId="165" fontId="22" fillId="0" borderId="14" xfId="3" applyFont="1" applyBorder="1" applyAlignment="1">
      <alignment vertical="center" wrapText="1"/>
    </xf>
    <xf numFmtId="165" fontId="9" fillId="4" borderId="0" xfId="3" applyFont="1" applyFill="1" applyBorder="1" applyAlignment="1">
      <alignment horizontal="center" vertical="center"/>
    </xf>
    <xf numFmtId="165" fontId="9" fillId="4" borderId="15" xfId="3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left" vertical="center"/>
    </xf>
    <xf numFmtId="165" fontId="9" fillId="4" borderId="17" xfId="3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10" fontId="9" fillId="4" borderId="21" xfId="0" applyNumberFormat="1" applyFont="1" applyFill="1" applyBorder="1" applyAlignment="1">
      <alignment horizontal="center" vertical="center"/>
    </xf>
    <xf numFmtId="10" fontId="9" fillId="4" borderId="22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12" fillId="3" borderId="8" xfId="0" applyFont="1" applyFill="1" applyBorder="1" applyAlignment="1">
      <alignment horizontal="left" vertical="center"/>
    </xf>
    <xf numFmtId="0" fontId="9" fillId="0" borderId="0" xfId="0" applyFont="1"/>
    <xf numFmtId="165" fontId="9" fillId="0" borderId="0" xfId="3" applyFont="1"/>
    <xf numFmtId="49" fontId="22" fillId="0" borderId="13" xfId="3" applyNumberFormat="1" applyFont="1" applyBorder="1" applyAlignment="1">
      <alignment vertical="center" wrapText="1"/>
    </xf>
    <xf numFmtId="49" fontId="22" fillId="0" borderId="12" xfId="3" applyNumberFormat="1" applyFont="1" applyBorder="1" applyAlignment="1">
      <alignment vertical="center" wrapText="1"/>
    </xf>
    <xf numFmtId="49" fontId="9" fillId="7" borderId="1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8" borderId="0" xfId="0" applyFont="1" applyFill="1" applyBorder="1" applyAlignment="1" applyProtection="1">
      <alignment horizontal="left" vertical="center"/>
      <protection locked="0"/>
    </xf>
    <xf numFmtId="167" fontId="9" fillId="8" borderId="0" xfId="2" applyNumberFormat="1" applyFont="1" applyFill="1" applyBorder="1" applyAlignment="1" applyProtection="1">
      <alignment horizontal="left" vertical="center"/>
      <protection locked="0"/>
    </xf>
    <xf numFmtId="165" fontId="9" fillId="8" borderId="21" xfId="3" applyFont="1" applyFill="1" applyBorder="1" applyAlignment="1" applyProtection="1">
      <alignment horizontal="left" vertical="center"/>
      <protection locked="0"/>
    </xf>
    <xf numFmtId="10" fontId="9" fillId="8" borderId="0" xfId="2" applyNumberFormat="1" applyFont="1" applyFill="1" applyBorder="1" applyAlignment="1" applyProtection="1">
      <alignment horizontal="left" vertical="center"/>
      <protection locked="0"/>
    </xf>
    <xf numFmtId="10" fontId="9" fillId="8" borderId="1" xfId="2" applyNumberFormat="1" applyFont="1" applyFill="1" applyBorder="1" applyAlignment="1" applyProtection="1">
      <alignment horizontal="left" vertical="center"/>
      <protection locked="0"/>
    </xf>
    <xf numFmtId="0" fontId="5" fillId="4" borderId="0" xfId="1" applyFont="1" applyFill="1" applyAlignment="1" applyProtection="1">
      <alignment horizontal="left" vertical="center" wrapText="1"/>
      <protection locked="0"/>
    </xf>
    <xf numFmtId="0" fontId="8" fillId="0" borderId="0" xfId="1" applyProtection="1">
      <protection locked="0"/>
    </xf>
    <xf numFmtId="0" fontId="12" fillId="4" borderId="0" xfId="0" applyFont="1" applyFill="1" applyBorder="1" applyAlignment="1">
      <alignment vertical="center"/>
    </xf>
    <xf numFmtId="0" fontId="23" fillId="9" borderId="0" xfId="4" applyFont="1" applyFill="1" applyBorder="1"/>
    <xf numFmtId="0" fontId="26" fillId="9" borderId="27" xfId="4" applyFont="1" applyFill="1" applyBorder="1" applyAlignment="1">
      <alignment vertical="center" wrapText="1"/>
    </xf>
    <xf numFmtId="0" fontId="23" fillId="0" borderId="0" xfId="4" applyFont="1" applyAlignment="1"/>
    <xf numFmtId="0" fontId="27" fillId="9" borderId="28" xfId="4" applyFont="1" applyFill="1" applyBorder="1" applyAlignment="1">
      <alignment horizontal="center"/>
    </xf>
    <xf numFmtId="0" fontId="28" fillId="0" borderId="0" xfId="4" applyFont="1"/>
    <xf numFmtId="0" fontId="29" fillId="9" borderId="28" xfId="4" applyFont="1" applyFill="1" applyBorder="1" applyAlignment="1">
      <alignment horizontal="center"/>
    </xf>
    <xf numFmtId="0" fontId="30" fillId="9" borderId="0" xfId="4" applyFont="1" applyFill="1" applyBorder="1" applyAlignment="1">
      <alignment horizontal="center" vertical="center"/>
    </xf>
    <xf numFmtId="167" fontId="23" fillId="0" borderId="0" xfId="4" applyNumberFormat="1" applyFont="1"/>
    <xf numFmtId="0" fontId="30" fillId="9" borderId="0" xfId="4" applyFont="1" applyFill="1" applyBorder="1" applyAlignment="1">
      <alignment vertical="center" wrapText="1"/>
    </xf>
    <xf numFmtId="0" fontId="28" fillId="0" borderId="0" xfId="4" applyFont="1" applyAlignment="1">
      <alignment horizontal="right"/>
    </xf>
    <xf numFmtId="0" fontId="33" fillId="9" borderId="0" xfId="4" applyFont="1" applyFill="1" applyBorder="1" applyAlignment="1">
      <alignment vertical="center" wrapText="1"/>
    </xf>
    <xf numFmtId="0" fontId="33" fillId="9" borderId="0" xfId="4" applyFont="1" applyFill="1" applyBorder="1" applyAlignment="1">
      <alignment horizontal="left" vertical="center" wrapText="1"/>
    </xf>
    <xf numFmtId="0" fontId="23" fillId="0" borderId="0" xfId="4" applyFont="1" applyAlignment="1">
      <alignment horizontal="center"/>
    </xf>
    <xf numFmtId="169" fontId="23" fillId="0" borderId="0" xfId="4" applyNumberFormat="1" applyFont="1"/>
    <xf numFmtId="0" fontId="34" fillId="0" borderId="35" xfId="4" applyFont="1" applyBorder="1" applyAlignment="1">
      <alignment horizontal="center" vertical="center" wrapText="1"/>
    </xf>
    <xf numFmtId="170" fontId="23" fillId="0" borderId="0" xfId="4" applyNumberFormat="1" applyFont="1"/>
    <xf numFmtId="10" fontId="23" fillId="0" borderId="0" xfId="4" applyNumberFormat="1" applyFont="1"/>
    <xf numFmtId="169" fontId="35" fillId="11" borderId="0" xfId="4" applyNumberFormat="1" applyFont="1" applyFill="1" applyBorder="1"/>
    <xf numFmtId="0" fontId="36" fillId="0" borderId="0" xfId="4" applyFont="1" applyAlignment="1">
      <alignment horizontal="center"/>
    </xf>
    <xf numFmtId="10" fontId="25" fillId="0" borderId="0" xfId="4" applyNumberFormat="1" applyFont="1"/>
    <xf numFmtId="0" fontId="37" fillId="0" borderId="0" xfId="4" applyFont="1"/>
    <xf numFmtId="0" fontId="38" fillId="0" borderId="0" xfId="4" applyFont="1"/>
    <xf numFmtId="0" fontId="27" fillId="9" borderId="0" xfId="4" applyFont="1" applyFill="1" applyBorder="1" applyAlignment="1">
      <alignment horizontal="center"/>
    </xf>
    <xf numFmtId="0" fontId="29" fillId="9" borderId="0" xfId="4" applyFont="1" applyFill="1" applyBorder="1" applyAlignment="1">
      <alignment horizontal="center"/>
    </xf>
    <xf numFmtId="0" fontId="23" fillId="0" borderId="0" xfId="4" applyFont="1" applyAlignment="1">
      <alignment horizontal="right"/>
    </xf>
    <xf numFmtId="10" fontId="39" fillId="0" borderId="38" xfId="4" applyNumberFormat="1" applyFont="1" applyBorder="1" applyAlignment="1">
      <alignment horizontal="center" vertical="center" wrapText="1"/>
    </xf>
    <xf numFmtId="171" fontId="35" fillId="11" borderId="0" xfId="4" applyNumberFormat="1" applyFont="1" applyFill="1" applyBorder="1"/>
    <xf numFmtId="172" fontId="23" fillId="0" borderId="0" xfId="4" applyNumberFormat="1" applyFont="1"/>
    <xf numFmtId="173" fontId="23" fillId="0" borderId="0" xfId="4" applyNumberFormat="1" applyFont="1"/>
    <xf numFmtId="9" fontId="23" fillId="0" borderId="0" xfId="4" applyNumberFormat="1" applyFont="1"/>
    <xf numFmtId="0" fontId="40" fillId="11" borderId="0" xfId="4" applyFont="1" applyFill="1" applyBorder="1"/>
    <xf numFmtId="174" fontId="40" fillId="11" borderId="0" xfId="4" applyNumberFormat="1" applyFont="1" applyFill="1" applyBorder="1"/>
    <xf numFmtId="10" fontId="39" fillId="0" borderId="39" xfId="4" applyNumberFormat="1" applyFont="1" applyBorder="1" applyAlignment="1">
      <alignment horizontal="center" vertical="center" wrapText="1"/>
    </xf>
    <xf numFmtId="0" fontId="41" fillId="0" borderId="35" xfId="4" applyFont="1" applyBorder="1" applyAlignment="1">
      <alignment horizontal="center" vertical="center" wrapText="1"/>
    </xf>
    <xf numFmtId="10" fontId="42" fillId="12" borderId="0" xfId="4" applyNumberFormat="1" applyFont="1" applyFill="1" applyBorder="1"/>
    <xf numFmtId="10" fontId="39" fillId="0" borderId="40" xfId="4" applyNumberFormat="1" applyFont="1" applyBorder="1" applyAlignment="1">
      <alignment horizontal="center" vertical="center" wrapText="1"/>
    </xf>
    <xf numFmtId="10" fontId="39" fillId="0" borderId="41" xfId="4" applyNumberFormat="1" applyFont="1" applyBorder="1" applyAlignment="1">
      <alignment horizontal="center" vertical="center" wrapText="1"/>
    </xf>
    <xf numFmtId="10" fontId="39" fillId="0" borderId="42" xfId="4" applyNumberFormat="1" applyFont="1" applyBorder="1" applyAlignment="1">
      <alignment horizontal="center" vertical="center" wrapText="1"/>
    </xf>
    <xf numFmtId="0" fontId="39" fillId="0" borderId="38" xfId="4" applyFont="1" applyBorder="1" applyAlignment="1">
      <alignment horizontal="center" vertical="center" wrapText="1"/>
    </xf>
    <xf numFmtId="10" fontId="39" fillId="0" borderId="43" xfId="4" applyNumberFormat="1" applyFont="1" applyBorder="1" applyAlignment="1">
      <alignment horizontal="center" vertical="center" wrapText="1"/>
    </xf>
    <xf numFmtId="175" fontId="37" fillId="0" borderId="0" xfId="4" applyNumberFormat="1" applyFont="1"/>
    <xf numFmtId="0" fontId="9" fillId="0" borderId="11" xfId="0" applyFont="1" applyFill="1" applyBorder="1" applyAlignment="1">
      <alignment horizontal="left" vertical="center"/>
    </xf>
    <xf numFmtId="165" fontId="9" fillId="0" borderId="21" xfId="3" applyFont="1" applyFill="1" applyBorder="1" applyAlignment="1" applyProtection="1">
      <alignment horizontal="left" vertical="center"/>
      <protection locked="0"/>
    </xf>
    <xf numFmtId="0" fontId="2" fillId="0" borderId="0" xfId="1" applyFont="1"/>
    <xf numFmtId="0" fontId="0" fillId="13" borderId="0" xfId="0" applyFill="1"/>
    <xf numFmtId="0" fontId="19" fillId="13" borderId="0" xfId="1" applyFont="1" applyFill="1" applyAlignment="1" applyProtection="1">
      <alignment horizontal="left" vertical="center" wrapText="1"/>
      <protection locked="0"/>
    </xf>
    <xf numFmtId="0" fontId="19" fillId="13" borderId="0" xfId="1" applyFont="1" applyFill="1" applyAlignment="1">
      <alignment horizontal="left" vertical="center" wrapText="1"/>
    </xf>
    <xf numFmtId="0" fontId="8" fillId="13" borderId="0" xfId="1" applyFill="1" applyProtection="1"/>
    <xf numFmtId="0" fontId="8" fillId="13" borderId="0" xfId="1" applyFill="1" applyBorder="1" applyProtection="1"/>
    <xf numFmtId="0" fontId="18" fillId="13" borderId="0" xfId="1" applyFont="1" applyFill="1" applyAlignment="1">
      <alignment horizontal="center"/>
    </xf>
    <xf numFmtId="0" fontId="5" fillId="13" borderId="0" xfId="1" applyFont="1" applyFill="1" applyAlignment="1" applyProtection="1">
      <alignment horizontal="left" vertical="center" wrapText="1"/>
      <protection locked="0"/>
    </xf>
    <xf numFmtId="0" fontId="9" fillId="0" borderId="0" xfId="1" applyFont="1" applyProtection="1">
      <protection locked="0"/>
    </xf>
    <xf numFmtId="0" fontId="43" fillId="13" borderId="0" xfId="1" applyFont="1" applyFill="1" applyAlignment="1">
      <alignment horizontal="center"/>
    </xf>
    <xf numFmtId="0" fontId="44" fillId="0" borderId="0" xfId="1" applyFont="1" applyProtection="1">
      <protection locked="0"/>
    </xf>
    <xf numFmtId="0" fontId="45" fillId="13" borderId="0" xfId="1" applyFont="1" applyFill="1" applyAlignment="1">
      <alignment horizontal="center"/>
    </xf>
    <xf numFmtId="0" fontId="46" fillId="13" borderId="0" xfId="1" applyFont="1" applyFill="1" applyAlignment="1" applyProtection="1">
      <alignment horizontal="center" vertical="center" wrapText="1"/>
      <protection locked="0"/>
    </xf>
    <xf numFmtId="0" fontId="46" fillId="13" borderId="0" xfId="1" applyFont="1" applyFill="1" applyAlignment="1" applyProtection="1">
      <alignment horizontal="left" vertical="center" wrapText="1"/>
      <protection locked="0"/>
    </xf>
    <xf numFmtId="0" fontId="47" fillId="0" borderId="0" xfId="0" applyFont="1" applyAlignment="1">
      <alignment horizontal="left" vertical="center"/>
    </xf>
    <xf numFmtId="0" fontId="47" fillId="4" borderId="0" xfId="0" applyFont="1" applyFill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4" fillId="4" borderId="0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4" borderId="0" xfId="0" applyFont="1" applyFill="1" applyBorder="1" applyAlignment="1">
      <alignment horizontal="left" vertical="center"/>
    </xf>
    <xf numFmtId="0" fontId="44" fillId="0" borderId="3" xfId="0" applyFont="1" applyBorder="1" applyAlignment="1">
      <alignment horizontal="left" vertical="center"/>
    </xf>
    <xf numFmtId="0" fontId="46" fillId="13" borderId="0" xfId="1" applyFont="1" applyFill="1" applyAlignment="1">
      <alignment horizontal="left" vertical="center" wrapText="1"/>
    </xf>
    <xf numFmtId="0" fontId="44" fillId="0" borderId="0" xfId="1" applyFont="1"/>
    <xf numFmtId="0" fontId="49" fillId="13" borderId="0" xfId="1" applyFont="1" applyFill="1" applyProtection="1"/>
    <xf numFmtId="0" fontId="10" fillId="0" borderId="0" xfId="1" applyFont="1" applyProtection="1">
      <protection locked="0"/>
    </xf>
    <xf numFmtId="0" fontId="10" fillId="13" borderId="0" xfId="1" applyFont="1" applyFill="1" applyProtection="1"/>
    <xf numFmtId="0" fontId="10" fillId="0" borderId="0" xfId="1" applyFont="1"/>
    <xf numFmtId="0" fontId="23" fillId="14" borderId="0" xfId="4" applyFont="1" applyFill="1" applyBorder="1"/>
    <xf numFmtId="0" fontId="23" fillId="15" borderId="0" xfId="4" applyFont="1" applyFill="1" applyBorder="1"/>
    <xf numFmtId="0" fontId="27" fillId="15" borderId="0" xfId="4" applyFont="1" applyFill="1" applyBorder="1" applyAlignment="1">
      <alignment horizontal="center"/>
    </xf>
    <xf numFmtId="0" fontId="29" fillId="15" borderId="0" xfId="4" applyFont="1" applyFill="1" applyBorder="1" applyAlignment="1">
      <alignment horizontal="center"/>
    </xf>
    <xf numFmtId="0" fontId="31" fillId="15" borderId="0" xfId="4" applyFont="1" applyFill="1" applyBorder="1" applyAlignment="1">
      <alignment horizontal="center" vertical="center" wrapText="1"/>
    </xf>
    <xf numFmtId="0" fontId="32" fillId="14" borderId="0" xfId="4" applyFont="1" applyFill="1" applyBorder="1" applyAlignment="1">
      <alignment horizontal="left" vertical="center" wrapText="1"/>
    </xf>
    <xf numFmtId="0" fontId="31" fillId="15" borderId="0" xfId="4" applyFont="1" applyFill="1" applyBorder="1" applyAlignment="1">
      <alignment horizontal="left" vertical="center" wrapText="1"/>
    </xf>
    <xf numFmtId="0" fontId="33" fillId="15" borderId="0" xfId="4" applyFont="1" applyFill="1" applyBorder="1" applyAlignment="1">
      <alignment horizontal="left" vertical="center" wrapText="1"/>
    </xf>
    <xf numFmtId="0" fontId="23" fillId="13" borderId="0" xfId="4" applyFont="1" applyFill="1" applyAlignment="1"/>
    <xf numFmtId="0" fontId="51" fillId="16" borderId="33" xfId="4" applyFont="1" applyFill="1" applyBorder="1" applyAlignment="1">
      <alignment horizontal="center" vertical="center"/>
    </xf>
    <xf numFmtId="0" fontId="51" fillId="16" borderId="32" xfId="4" applyFont="1" applyFill="1" applyBorder="1" applyAlignment="1">
      <alignment horizontal="center" vertical="center"/>
    </xf>
    <xf numFmtId="0" fontId="51" fillId="16" borderId="34" xfId="4" applyFont="1" applyFill="1" applyBorder="1" applyAlignment="1">
      <alignment horizontal="center" vertical="center"/>
    </xf>
    <xf numFmtId="0" fontId="51" fillId="16" borderId="0" xfId="4" applyFont="1" applyFill="1" applyBorder="1" applyAlignment="1">
      <alignment horizontal="center" vertical="center"/>
    </xf>
    <xf numFmtId="0" fontId="53" fillId="17" borderId="31" xfId="4" applyFont="1" applyFill="1" applyBorder="1" applyAlignment="1">
      <alignment horizontal="center" vertical="center" wrapText="1"/>
    </xf>
    <xf numFmtId="10" fontId="54" fillId="17" borderId="31" xfId="4" applyNumberFormat="1" applyFont="1" applyFill="1" applyBorder="1" applyAlignment="1">
      <alignment horizontal="center" vertical="center"/>
    </xf>
    <xf numFmtId="168" fontId="55" fillId="18" borderId="31" xfId="4" applyNumberFormat="1" applyFont="1" applyFill="1" applyBorder="1" applyAlignment="1">
      <alignment vertical="center"/>
    </xf>
    <xf numFmtId="0" fontId="3" fillId="18" borderId="31" xfId="4" applyFont="1" applyFill="1" applyBorder="1" applyAlignment="1">
      <alignment horizontal="center" vertical="center"/>
    </xf>
    <xf numFmtId="168" fontId="3" fillId="18" borderId="31" xfId="4" applyNumberFormat="1" applyFont="1" applyFill="1" applyBorder="1" applyAlignment="1">
      <alignment vertical="center"/>
    </xf>
    <xf numFmtId="10" fontId="3" fillId="18" borderId="31" xfId="4" applyNumberFormat="1" applyFont="1" applyFill="1" applyBorder="1" applyAlignment="1">
      <alignment horizontal="center" vertical="center"/>
    </xf>
    <xf numFmtId="0" fontId="56" fillId="17" borderId="31" xfId="4" applyFont="1" applyFill="1" applyBorder="1" applyAlignment="1">
      <alignment horizontal="center" vertical="center"/>
    </xf>
    <xf numFmtId="168" fontId="56" fillId="17" borderId="31" xfId="4" applyNumberFormat="1" applyFont="1" applyFill="1" applyBorder="1" applyAlignment="1">
      <alignment vertical="center"/>
    </xf>
    <xf numFmtId="10" fontId="56" fillId="17" borderId="31" xfId="4" applyNumberFormat="1" applyFont="1" applyFill="1" applyBorder="1" applyAlignment="1">
      <alignment horizontal="center" vertical="center"/>
    </xf>
    <xf numFmtId="168" fontId="57" fillId="18" borderId="31" xfId="4" applyNumberFormat="1" applyFont="1" applyFill="1" applyBorder="1" applyAlignment="1">
      <alignment vertical="center"/>
    </xf>
    <xf numFmtId="0" fontId="50" fillId="18" borderId="31" xfId="4" applyFont="1" applyFill="1" applyBorder="1" applyAlignment="1">
      <alignment horizontal="center" vertical="center"/>
    </xf>
    <xf numFmtId="168" fontId="50" fillId="18" borderId="31" xfId="4" applyNumberFormat="1" applyFont="1" applyFill="1" applyBorder="1" applyAlignment="1">
      <alignment vertical="center"/>
    </xf>
    <xf numFmtId="10" fontId="50" fillId="18" borderId="31" xfId="4" applyNumberFormat="1" applyFont="1" applyFill="1" applyBorder="1" applyAlignment="1">
      <alignment horizontal="center" vertical="center"/>
    </xf>
    <xf numFmtId="0" fontId="5" fillId="4" borderId="0" xfId="1" applyFont="1" applyFill="1" applyAlignment="1" applyProtection="1">
      <alignment horizontal="center" vertical="center" wrapText="1"/>
      <protection locked="0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9" fillId="8" borderId="0" xfId="0" applyFont="1" applyFill="1" applyBorder="1" applyAlignment="1" applyProtection="1">
      <alignment horizontal="left" vertical="center"/>
      <protection locked="0"/>
    </xf>
    <xf numFmtId="0" fontId="9" fillId="8" borderId="7" xfId="0" applyFont="1" applyFill="1" applyBorder="1" applyAlignment="1" applyProtection="1">
      <alignment horizontal="left" vertical="center"/>
      <protection locked="0"/>
    </xf>
    <xf numFmtId="0" fontId="12" fillId="4" borderId="5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51" fillId="16" borderId="30" xfId="4" applyFont="1" applyFill="1" applyBorder="1" applyAlignment="1">
      <alignment horizontal="center" vertical="center"/>
    </xf>
    <xf numFmtId="0" fontId="52" fillId="13" borderId="30" xfId="4" applyFont="1" applyFill="1" applyBorder="1"/>
    <xf numFmtId="0" fontId="52" fillId="13" borderId="31" xfId="4" applyFont="1" applyFill="1" applyBorder="1"/>
    <xf numFmtId="0" fontId="59" fillId="10" borderId="0" xfId="4" applyFont="1" applyFill="1" applyBorder="1" applyAlignment="1">
      <alignment horizontal="left"/>
    </xf>
    <xf numFmtId="0" fontId="25" fillId="0" borderId="0" xfId="4" applyFont="1" applyBorder="1"/>
    <xf numFmtId="0" fontId="24" fillId="10" borderId="0" xfId="4" applyFont="1" applyFill="1" applyBorder="1" applyAlignment="1">
      <alignment horizontal="left"/>
    </xf>
    <xf numFmtId="0" fontId="51" fillId="16" borderId="29" xfId="4" applyFont="1" applyFill="1" applyBorder="1" applyAlignment="1">
      <alignment horizontal="center" vertical="center"/>
    </xf>
    <xf numFmtId="0" fontId="52" fillId="13" borderId="32" xfId="4" applyFont="1" applyFill="1" applyBorder="1"/>
    <xf numFmtId="0" fontId="51" fillId="16" borderId="29" xfId="4" applyFont="1" applyFill="1" applyBorder="1" applyAlignment="1">
      <alignment horizontal="center" vertical="center" wrapText="1"/>
    </xf>
    <xf numFmtId="0" fontId="51" fillId="16" borderId="36" xfId="4" applyFont="1" applyFill="1" applyBorder="1" applyAlignment="1">
      <alignment horizontal="center" vertical="center"/>
    </xf>
    <xf numFmtId="0" fontId="52" fillId="13" borderId="37" xfId="4" applyFont="1" applyFill="1" applyBorder="1"/>
    <xf numFmtId="10" fontId="54" fillId="17" borderId="36" xfId="4" applyNumberFormat="1" applyFont="1" applyFill="1" applyBorder="1" applyAlignment="1">
      <alignment horizontal="center" vertical="center"/>
    </xf>
    <xf numFmtId="0" fontId="58" fillId="19" borderId="31" xfId="4" applyFont="1" applyFill="1" applyBorder="1"/>
    <xf numFmtId="0" fontId="1" fillId="0" borderId="0" xfId="1" applyFont="1"/>
  </cellXfs>
  <cellStyles count="5">
    <cellStyle name="Normal" xfId="0" builtinId="0"/>
    <cellStyle name="Normal 2" xfId="1"/>
    <cellStyle name="Normal 3" xfId="4"/>
    <cellStyle name="Porcentagem" xfId="2" builtinId="5"/>
    <cellStyle name="Vírgula" xfId="3" builtinId="3"/>
  </cellStyles>
  <dxfs count="2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color rgb="FFFF0000"/>
      </font>
      <fill>
        <patternFill patternType="none"/>
      </fill>
    </dxf>
    <dxf>
      <font>
        <b/>
        <i/>
        <color rgb="FFFFFF0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color rgb="FFFF0000"/>
      </font>
      <fill>
        <patternFill patternType="none"/>
      </fill>
    </dxf>
    <dxf>
      <font>
        <b/>
        <i/>
        <color rgb="FFFFFF0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color rgb="FFFF0000"/>
      </font>
      <fill>
        <patternFill patternType="none"/>
      </fill>
    </dxf>
    <dxf>
      <font>
        <b/>
        <i/>
        <color rgb="FFFFFF0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color rgb="FFFF0000"/>
      </font>
      <fill>
        <patternFill patternType="none"/>
      </fill>
    </dxf>
    <dxf>
      <font>
        <b/>
        <i/>
        <color rgb="FFFFFF0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i/>
        <color rgb="FFFF0000"/>
      </font>
      <fill>
        <patternFill patternType="none"/>
      </fill>
    </dxf>
    <dxf>
      <font>
        <b/>
        <i/>
        <color rgb="FFFFFF0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hannel/UCFifE1xG4Iq5ujnG8lFucAQ?view_as=subscriber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6.jpg"/><Relationship Id="rId2" Type="http://schemas.openxmlformats.org/officeDocument/2006/relationships/image" Target="../media/image4.png"/><Relationship Id="rId1" Type="http://schemas.openxmlformats.org/officeDocument/2006/relationships/hyperlink" Target="mailto:contato@contabillm.com.br?subject=Mais%20informa&#231;&#245;es%20sobre%20a%20L&amp;M%20Contabilidade" TargetMode="External"/><Relationship Id="rId6" Type="http://schemas.openxmlformats.org/officeDocument/2006/relationships/hyperlink" Target="https://www.instagram.com/lemcontabilidade/?hl=pt-br" TargetMode="External"/><Relationship Id="rId5" Type="http://schemas.openxmlformats.org/officeDocument/2006/relationships/image" Target="../media/image5.jpg"/><Relationship Id="rId4" Type="http://schemas.openxmlformats.org/officeDocument/2006/relationships/hyperlink" Target="https://www.facebook.com/lemcontabilidade/?ref=bookmarks" TargetMode="External"/><Relationship Id="rId9" Type="http://schemas.openxmlformats.org/officeDocument/2006/relationships/image" Target="../media/image7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296332</xdr:colOff>
      <xdr:row>2</xdr:row>
      <xdr:rowOff>0</xdr:rowOff>
    </xdr:from>
    <xdr:ext cx="8858251" cy="6009722"/>
    <xdr:sp macro="" textlink="">
      <xdr:nvSpPr>
        <xdr:cNvPr id="3" name="CaixaDeTexto 2"/>
        <xdr:cNvSpPr txBox="1"/>
      </xdr:nvSpPr>
      <xdr:spPr>
        <a:xfrm>
          <a:off x="2063749" y="804333"/>
          <a:ext cx="8858251" cy="60097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Esta planilha tem o intuito</a:t>
          </a:r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contribuir com o Planejamento Tributário das Empresas. </a:t>
          </a:r>
        </a:p>
        <a:p>
          <a:endParaRPr lang="pt-BR" sz="14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metodo utilizado é estimar os tributos através de informações simples, disponível a qualquer empreendedor ou gestor da área financeira. Como qualquer calculo simulado, ele é uma simplificação de um situação obtida através de informações e premissas, para a tomada de decisões é aconselhavél consultar um contador. </a:t>
          </a:r>
        </a:p>
        <a:p>
          <a:endParaRPr lang="pt-BR" sz="14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 etapas para o cálculo são; </a:t>
          </a: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Estimar informações anuais de Receita e de Despesas na opção </a:t>
          </a:r>
          <a:r>
            <a:rPr lang="pt-BR" sz="1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Entrada de Dados</a:t>
          </a:r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Validar as aliquotas básicas dos impostos na opção </a:t>
          </a:r>
          <a:r>
            <a:rPr lang="pt-BR" sz="1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Alíquota de Impostos</a:t>
          </a:r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Validar os cálculos realizados, na opção</a:t>
          </a:r>
          <a:r>
            <a:rPr lang="pt-BR" sz="1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Resultados</a:t>
          </a:r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Analisar os resultados da planilha. </a:t>
          </a:r>
        </a:p>
        <a:p>
          <a:endParaRPr lang="pt-BR" sz="14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OBS: Em todos os casos, os campos a serem preenchidos estão em azul.</a:t>
          </a:r>
        </a:p>
        <a:p>
          <a:endParaRPr lang="pt-BR" sz="14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planilha possui dados de um exemplo preenchido para facilitar o entendimento de seu funcionamento. </a:t>
          </a:r>
        </a:p>
        <a:p>
          <a:endParaRPr lang="pt-BR" sz="14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Importante: </a:t>
          </a: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opção de enquadramento, seja ele lucro real, lucro presumido ou simples nacional, depende de uma série de condições que não estão incluidas nos calculos. </a:t>
          </a:r>
        </a:p>
        <a:p>
          <a:endParaRPr lang="pt-BR" sz="14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 informações desta planilha servem apenas para orientação geral, e não significam o aconselhamento para a tomada de decisão. Seus cálculos são simplificações da dinâmica tributária das empresas, como qualquer simplificação estão sujeitas a erros e a imprecisões diversas. </a:t>
          </a:r>
        </a:p>
        <a:p>
          <a:endParaRPr lang="pt-BR" sz="14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É necessário sempre consultar um profissional habilitado para que seja discutido os diversos fatores que influenciam a definição de enquadramento tributário para cada caso isolado. Não nos responsabilizamos pelo uso das informações desta ferramenta. </a:t>
          </a:r>
          <a:endParaRPr lang="pt-BR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5</xdr:col>
      <xdr:colOff>1200150</xdr:colOff>
      <xdr:row>11</xdr:row>
      <xdr:rowOff>209550</xdr:rowOff>
    </xdr:from>
    <xdr:to>
      <xdr:col>7</xdr:col>
      <xdr:colOff>352425</xdr:colOff>
      <xdr:row>12</xdr:row>
      <xdr:rowOff>200025</xdr:rowOff>
    </xdr:to>
    <xdr:pic>
      <xdr:nvPicPr>
        <xdr:cNvPr id="1026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419475"/>
          <a:ext cx="18954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264576</xdr:colOff>
      <xdr:row>0</xdr:row>
      <xdr:rowOff>95248</xdr:rowOff>
    </xdr:from>
    <xdr:to>
      <xdr:col>0</xdr:col>
      <xdr:colOff>1522934</xdr:colOff>
      <xdr:row>0</xdr:row>
      <xdr:rowOff>539748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76" y="95248"/>
          <a:ext cx="1258358" cy="44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142875</xdr:rowOff>
    </xdr:from>
    <xdr:to>
      <xdr:col>0</xdr:col>
      <xdr:colOff>1506008</xdr:colOff>
      <xdr:row>0</xdr:row>
      <xdr:rowOff>587375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1258358" cy="44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pic>
      <xdr:nvPicPr>
        <xdr:cNvPr id="2075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253992</xdr:colOff>
      <xdr:row>0</xdr:row>
      <xdr:rowOff>95247</xdr:rowOff>
    </xdr:from>
    <xdr:to>
      <xdr:col>0</xdr:col>
      <xdr:colOff>1512350</xdr:colOff>
      <xdr:row>0</xdr:row>
      <xdr:rowOff>539747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2" y="95247"/>
          <a:ext cx="1258358" cy="444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pic>
      <xdr:nvPicPr>
        <xdr:cNvPr id="3073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264575</xdr:colOff>
      <xdr:row>0</xdr:row>
      <xdr:rowOff>95247</xdr:rowOff>
    </xdr:from>
    <xdr:to>
      <xdr:col>0</xdr:col>
      <xdr:colOff>1522933</xdr:colOff>
      <xdr:row>0</xdr:row>
      <xdr:rowOff>539747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575" y="95247"/>
          <a:ext cx="1258358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0</xdr:colOff>
      <xdr:row>1</xdr:row>
      <xdr:rowOff>0</xdr:rowOff>
    </xdr:to>
    <xdr:pic>
      <xdr:nvPicPr>
        <xdr:cNvPr id="4097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5143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253992</xdr:colOff>
      <xdr:row>0</xdr:row>
      <xdr:rowOff>105830</xdr:rowOff>
    </xdr:from>
    <xdr:to>
      <xdr:col>0</xdr:col>
      <xdr:colOff>1512350</xdr:colOff>
      <xdr:row>1</xdr:row>
      <xdr:rowOff>31747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2" y="105830"/>
          <a:ext cx="1258358" cy="444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126999</xdr:colOff>
      <xdr:row>1</xdr:row>
      <xdr:rowOff>101600</xdr:rowOff>
    </xdr:from>
    <xdr:ext cx="4074583" cy="2221314"/>
    <xdr:sp macro="" textlink="">
      <xdr:nvSpPr>
        <xdr:cNvPr id="3" name="CaixaDeTexto 2"/>
        <xdr:cNvSpPr txBox="1"/>
      </xdr:nvSpPr>
      <xdr:spPr>
        <a:xfrm>
          <a:off x="1894416" y="620183"/>
          <a:ext cx="4074583" cy="22213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Queremos ter</a:t>
          </a:r>
          <a:r>
            <a:rPr lang="pt-BR" sz="14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ÓTIMOS clientes que são nossos amigos, que nos indicam para seus melhores amigos, que nos veem como parte da soluçao, e não do problema, e reconheça o nosso valor e a nossa importância para o crescimento da sua empresa.</a:t>
          </a:r>
          <a:endParaRPr lang="pt-BR" sz="14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t-BR" sz="14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Ligue</a:t>
          </a:r>
          <a:r>
            <a:rPr lang="pt-BR" sz="1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para a gente! Tenho certeza que temos a solução ideal para você!</a:t>
          </a:r>
        </a:p>
        <a:p>
          <a:pPr algn="ctr"/>
          <a:r>
            <a:rPr lang="pt-BR" sz="2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(64) 3571-1250</a:t>
          </a:r>
          <a:endParaRPr lang="pt-BR" sz="2400" b="1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absolute">
    <xdr:from>
      <xdr:col>4</xdr:col>
      <xdr:colOff>1219200</xdr:colOff>
      <xdr:row>1</xdr:row>
      <xdr:rowOff>85725</xdr:rowOff>
    </xdr:from>
    <xdr:to>
      <xdr:col>6</xdr:col>
      <xdr:colOff>219075</xdr:colOff>
      <xdr:row>9</xdr:row>
      <xdr:rowOff>27516</xdr:rowOff>
    </xdr:to>
    <xdr:pic>
      <xdr:nvPicPr>
        <xdr:cNvPr id="6147" name="Imagem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600075"/>
          <a:ext cx="1743075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253992</xdr:colOff>
      <xdr:row>0</xdr:row>
      <xdr:rowOff>148162</xdr:rowOff>
    </xdr:from>
    <xdr:to>
      <xdr:col>0</xdr:col>
      <xdr:colOff>1512350</xdr:colOff>
      <xdr:row>1</xdr:row>
      <xdr:rowOff>74079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2" y="148162"/>
          <a:ext cx="1258358" cy="444500"/>
        </a:xfrm>
        <a:prstGeom prst="rect">
          <a:avLst/>
        </a:prstGeom>
      </xdr:spPr>
    </xdr:pic>
    <xdr:clientData/>
  </xdr:twoCellAnchor>
  <xdr:twoCellAnchor editAs="oneCell">
    <xdr:from>
      <xdr:col>4</xdr:col>
      <xdr:colOff>1195916</xdr:colOff>
      <xdr:row>9</xdr:row>
      <xdr:rowOff>95250</xdr:rowOff>
    </xdr:from>
    <xdr:to>
      <xdr:col>6</xdr:col>
      <xdr:colOff>218029</xdr:colOff>
      <xdr:row>12</xdr:row>
      <xdr:rowOff>10583</xdr:rowOff>
    </xdr:to>
    <xdr:pic>
      <xdr:nvPicPr>
        <xdr:cNvPr id="2" name="Imagem 1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33" y="2434167"/>
          <a:ext cx="1773779" cy="709083"/>
        </a:xfrm>
        <a:prstGeom prst="rect">
          <a:avLst/>
        </a:prstGeom>
      </xdr:spPr>
    </xdr:pic>
    <xdr:clientData/>
  </xdr:twoCellAnchor>
  <xdr:twoCellAnchor editAs="oneCell">
    <xdr:from>
      <xdr:col>4</xdr:col>
      <xdr:colOff>1195916</xdr:colOff>
      <xdr:row>12</xdr:row>
      <xdr:rowOff>52917</xdr:rowOff>
    </xdr:from>
    <xdr:to>
      <xdr:col>6</xdr:col>
      <xdr:colOff>222250</xdr:colOff>
      <xdr:row>14</xdr:row>
      <xdr:rowOff>237531</xdr:rowOff>
    </xdr:to>
    <xdr:pic>
      <xdr:nvPicPr>
        <xdr:cNvPr id="4" name="Imagem 3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33" y="3185584"/>
          <a:ext cx="1778000" cy="713780"/>
        </a:xfrm>
        <a:prstGeom prst="rect">
          <a:avLst/>
        </a:prstGeom>
      </xdr:spPr>
    </xdr:pic>
    <xdr:clientData/>
  </xdr:twoCellAnchor>
  <xdr:twoCellAnchor editAs="oneCell">
    <xdr:from>
      <xdr:col>4</xdr:col>
      <xdr:colOff>1195917</xdr:colOff>
      <xdr:row>15</xdr:row>
      <xdr:rowOff>21166</xdr:rowOff>
    </xdr:from>
    <xdr:to>
      <xdr:col>6</xdr:col>
      <xdr:colOff>232834</xdr:colOff>
      <xdr:row>17</xdr:row>
      <xdr:rowOff>210028</xdr:rowOff>
    </xdr:to>
    <xdr:pic>
      <xdr:nvPicPr>
        <xdr:cNvPr id="5" name="Imagem 4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34" y="3947583"/>
          <a:ext cx="1788583" cy="7180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0</xdr:col>
      <xdr:colOff>1506008</xdr:colOff>
      <xdr:row>0</xdr:row>
      <xdr:rowOff>577850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33350"/>
          <a:ext cx="1258358" cy="444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133350</xdr:rowOff>
    </xdr:from>
    <xdr:to>
      <xdr:col>0</xdr:col>
      <xdr:colOff>1506008</xdr:colOff>
      <xdr:row>0</xdr:row>
      <xdr:rowOff>577850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33350"/>
          <a:ext cx="1258358" cy="444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142875</xdr:rowOff>
    </xdr:from>
    <xdr:to>
      <xdr:col>0</xdr:col>
      <xdr:colOff>1506008</xdr:colOff>
      <xdr:row>0</xdr:row>
      <xdr:rowOff>587375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1258358" cy="444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142875</xdr:rowOff>
    </xdr:from>
    <xdr:to>
      <xdr:col>0</xdr:col>
      <xdr:colOff>1506008</xdr:colOff>
      <xdr:row>0</xdr:row>
      <xdr:rowOff>587375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42875"/>
          <a:ext cx="1258358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N44"/>
  <sheetViews>
    <sheetView showGridLines="0" tabSelected="1" zoomScale="90" zoomScaleNormal="90" workbookViewId="0"/>
  </sheetViews>
  <sheetFormatPr defaultRowHeight="15"/>
  <cols>
    <col min="1" max="1" width="26.5703125" style="154" customWidth="1"/>
    <col min="2" max="2" width="4.42578125" style="26" customWidth="1"/>
    <col min="3" max="10" width="20.5703125" style="26" customWidth="1"/>
    <col min="11" max="16384" width="9.140625" style="26"/>
  </cols>
  <sheetData>
    <row r="1" spans="1:14" ht="47.25" customHeight="1">
      <c r="A1" s="150"/>
      <c r="B1" s="22"/>
      <c r="C1" s="23" t="s">
        <v>138</v>
      </c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</row>
    <row r="2" spans="1:14" ht="23.1" customHeight="1">
      <c r="A2" s="158" t="s">
        <v>3</v>
      </c>
      <c r="B2" s="171"/>
      <c r="C2" s="27"/>
    </row>
    <row r="3" spans="1:14" ht="9.9499999999999993" customHeight="1">
      <c r="A3" s="172"/>
      <c r="B3" s="171"/>
      <c r="C3" s="28"/>
    </row>
    <row r="4" spans="1:14" ht="23.1" customHeight="1">
      <c r="A4" s="202" t="s">
        <v>4</v>
      </c>
      <c r="B4" s="171"/>
    </row>
    <row r="5" spans="1:14" ht="23.1" customHeight="1">
      <c r="A5" s="162" t="s">
        <v>5</v>
      </c>
      <c r="B5" s="171"/>
    </row>
    <row r="6" spans="1:14" ht="23.1" customHeight="1">
      <c r="A6" s="162" t="s">
        <v>51</v>
      </c>
      <c r="B6" s="171"/>
    </row>
    <row r="7" spans="1:14" ht="23.1" customHeight="1">
      <c r="A7" s="162" t="s">
        <v>52</v>
      </c>
      <c r="B7" s="171"/>
    </row>
    <row r="8" spans="1:14" ht="23.1" customHeight="1">
      <c r="A8" s="162"/>
      <c r="B8" s="171"/>
    </row>
    <row r="9" spans="1:14" ht="23.1" customHeight="1">
      <c r="A9" s="162"/>
      <c r="B9" s="171"/>
    </row>
    <row r="10" spans="1:14" ht="23.1" customHeight="1">
      <c r="A10" s="162" t="s">
        <v>140</v>
      </c>
      <c r="B10" s="171"/>
    </row>
    <row r="11" spans="1:14" ht="23.1" customHeight="1">
      <c r="A11" s="151"/>
    </row>
    <row r="12" spans="1:14" ht="23.1" customHeight="1">
      <c r="A12" s="152"/>
    </row>
    <row r="13" spans="1:14" ht="23.1" customHeight="1">
      <c r="A13" s="152"/>
    </row>
    <row r="14" spans="1:14" ht="21" customHeight="1">
      <c r="A14" s="152"/>
    </row>
    <row r="15" spans="1:14" ht="21" customHeight="1">
      <c r="A15" s="153"/>
    </row>
    <row r="16" spans="1:14" ht="21" customHeight="1">
      <c r="A16" s="153"/>
    </row>
    <row r="17" spans="1:1" ht="21" customHeight="1">
      <c r="A17" s="153"/>
    </row>
    <row r="18" spans="1:1" ht="21" customHeight="1">
      <c r="A18" s="153"/>
    </row>
    <row r="19" spans="1:1" ht="21" customHeight="1">
      <c r="A19" s="153"/>
    </row>
    <row r="20" spans="1:1" ht="21" customHeight="1">
      <c r="A20" s="153"/>
    </row>
    <row r="21" spans="1:1" ht="21" customHeight="1">
      <c r="A21" s="153"/>
    </row>
    <row r="22" spans="1:1" ht="21" customHeight="1">
      <c r="A22" s="153"/>
    </row>
    <row r="23" spans="1:1" ht="21" customHeight="1">
      <c r="A23" s="153"/>
    </row>
    <row r="24" spans="1:1" ht="21" customHeight="1">
      <c r="A24" s="153"/>
    </row>
    <row r="25" spans="1:1" ht="21" customHeight="1">
      <c r="A25" s="153"/>
    </row>
    <row r="26" spans="1:1" ht="21" customHeight="1">
      <c r="A26" s="153"/>
    </row>
    <row r="27" spans="1:1" ht="21" customHeight="1">
      <c r="A27" s="153"/>
    </row>
    <row r="28" spans="1:1" ht="21" customHeight="1">
      <c r="A28" s="153"/>
    </row>
    <row r="29" spans="1:1" ht="21" customHeight="1">
      <c r="A29" s="153"/>
    </row>
    <row r="30" spans="1:1" ht="21" customHeight="1"/>
    <row r="31" spans="1:1" ht="21" customHeight="1"/>
    <row r="32" spans="1:1" ht="21" customHeight="1"/>
    <row r="33" spans="3:3" ht="21" customHeight="1">
      <c r="C33" s="149" t="s">
        <v>139</v>
      </c>
    </row>
    <row r="34" spans="3:3" ht="21" customHeight="1">
      <c r="C34" s="225" t="s">
        <v>147</v>
      </c>
    </row>
    <row r="35" spans="3:3" ht="21" customHeight="1"/>
    <row r="36" spans="3:3" ht="21" customHeight="1"/>
    <row r="37" spans="3:3" ht="21" customHeight="1"/>
    <row r="38" spans="3:3" ht="21" customHeight="1"/>
    <row r="39" spans="3:3" ht="21" customHeight="1"/>
    <row r="40" spans="3:3" ht="21" customHeight="1"/>
    <row r="41" spans="3:3" ht="21" customHeight="1"/>
    <row r="42" spans="3:3" ht="21" customHeight="1"/>
    <row r="43" spans="3:3" ht="21" customHeight="1"/>
    <row r="44" spans="3:3" ht="21" customHeight="1"/>
  </sheetData>
  <sheetProtection algorithmName="SHA-512" hashValue="BZHi0i8AeHKn5ufyHE0jK2JIuTmh7hgoyXUv7axFN6HU72cMo/KvckFhlxD5/c0OsYsO2hOuspdnHj3ybM2eJA==" saltValue="NQXE04DKhtCY19aHrOivLA==" spinCount="100000" sheet="1" objects="1" scenarios="1"/>
  <hyperlinks>
    <hyperlink ref="A4" location="Inicio!A1" display="Início"/>
    <hyperlink ref="A6" location="'Aliquota de Impostos'!A1" display="  2. Aliquota de Imposto"/>
    <hyperlink ref="A7" location="Resultados!A1" display="  3. Resultados"/>
    <hyperlink ref="A5" location="'Entrada de Dados'!A1" display="  1. Entrada de Dados"/>
    <hyperlink ref="A10" location="'Sobre a Capital Social'!A1" display="  Sobre a Capital Social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workbookViewId="0">
      <selection activeCell="C2" sqref="C2"/>
    </sheetView>
  </sheetViews>
  <sheetFormatPr defaultColWidth="14.42578125" defaultRowHeight="15" customHeight="1"/>
  <cols>
    <col min="1" max="1" width="26.5703125" style="184" customWidth="1"/>
    <col min="2" max="2" width="6.42578125" style="108" customWidth="1"/>
    <col min="3" max="3" width="23.7109375" style="108" customWidth="1"/>
    <col min="4" max="4" width="24.7109375" style="108" customWidth="1"/>
    <col min="5" max="7" width="15.7109375" style="108" customWidth="1"/>
    <col min="8" max="8" width="11.140625" style="108" customWidth="1"/>
    <col min="9" max="10" width="15.7109375" style="108" customWidth="1"/>
    <col min="11" max="11" width="9.140625" style="108" customWidth="1"/>
    <col min="12" max="12" width="12.85546875" style="108" customWidth="1"/>
    <col min="13" max="13" width="9.140625" style="108" hidden="1" customWidth="1"/>
    <col min="14" max="14" width="9.140625" style="108" customWidth="1"/>
    <col min="15" max="15" width="13.42578125" style="108" customWidth="1"/>
    <col min="16" max="16" width="13.42578125" style="108" hidden="1" customWidth="1"/>
    <col min="17" max="17" width="9.140625" style="108" hidden="1" customWidth="1"/>
    <col min="18" max="18" width="11.42578125" style="108" hidden="1" customWidth="1"/>
    <col min="19" max="19" width="7" style="108" hidden="1" customWidth="1"/>
    <col min="20" max="25" width="8.7109375" style="108" hidden="1" customWidth="1"/>
    <col min="26" max="26" width="8.7109375" style="108" customWidth="1"/>
    <col min="27" max="16384" width="14.42578125" style="108"/>
  </cols>
  <sheetData>
    <row r="1" spans="1:26" ht="51.75" customHeight="1" thickBot="1">
      <c r="A1" s="176"/>
      <c r="B1" s="106"/>
      <c r="C1" s="215" t="s">
        <v>143</v>
      </c>
      <c r="D1" s="216"/>
      <c r="E1" s="216"/>
      <c r="F1" s="216"/>
      <c r="G1" s="216"/>
      <c r="H1" s="216"/>
      <c r="I1" s="216"/>
      <c r="J1" s="216"/>
      <c r="K1" s="216"/>
      <c r="L1" s="216"/>
      <c r="M1" s="217"/>
      <c r="N1" s="216"/>
      <c r="O1" s="216"/>
      <c r="P1" s="216"/>
      <c r="Q1" s="216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5.75" thickTop="1">
      <c r="A2" s="177"/>
      <c r="B2" s="106"/>
    </row>
    <row r="3" spans="1:26" ht="15.75" customHeight="1">
      <c r="A3" s="178"/>
      <c r="B3" s="128"/>
      <c r="C3" s="218"/>
      <c r="D3" s="220" t="s">
        <v>117</v>
      </c>
      <c r="E3" s="218" t="s">
        <v>118</v>
      </c>
      <c r="F3" s="221" t="s">
        <v>119</v>
      </c>
      <c r="G3" s="213"/>
      <c r="H3" s="213"/>
      <c r="I3" s="213"/>
      <c r="J3" s="213"/>
      <c r="K3" s="213"/>
      <c r="L3" s="110"/>
      <c r="M3" s="110"/>
      <c r="N3" s="110"/>
    </row>
    <row r="4" spans="1:26" ht="21">
      <c r="A4" s="178"/>
      <c r="B4" s="129"/>
      <c r="C4" s="219"/>
      <c r="D4" s="219"/>
      <c r="E4" s="219"/>
      <c r="F4" s="185" t="s">
        <v>28</v>
      </c>
      <c r="G4" s="186" t="s">
        <v>30</v>
      </c>
      <c r="H4" s="186" t="s">
        <v>47</v>
      </c>
      <c r="I4" s="186" t="s">
        <v>48</v>
      </c>
      <c r="J4" s="221" t="s">
        <v>19</v>
      </c>
      <c r="K4" s="214"/>
      <c r="L4" s="110"/>
      <c r="M4" s="110"/>
      <c r="N4" s="110"/>
      <c r="R4" s="139" t="s">
        <v>22</v>
      </c>
    </row>
    <row r="5" spans="1:26" ht="26.25">
      <c r="A5" s="179"/>
      <c r="B5" s="112"/>
      <c r="C5" s="189" t="s">
        <v>132</v>
      </c>
      <c r="D5" s="198">
        <f>'Entrada de Dados'!H12</f>
        <v>15000</v>
      </c>
      <c r="E5" s="190">
        <f>F17</f>
        <v>4.4999999999999998E-2</v>
      </c>
      <c r="F5" s="190">
        <f t="shared" ref="F5:I5" si="0">I26</f>
        <v>8.5000000000000006E-3</v>
      </c>
      <c r="G5" s="190">
        <f t="shared" si="0"/>
        <v>6.7999999999999996E-3</v>
      </c>
      <c r="H5" s="190">
        <f t="shared" si="0"/>
        <v>8.0000000000000002E-3</v>
      </c>
      <c r="I5" s="190">
        <f t="shared" si="0"/>
        <v>1.6999999999999999E-3</v>
      </c>
      <c r="J5" s="223">
        <f>N26</f>
        <v>0.02</v>
      </c>
      <c r="K5" s="224"/>
      <c r="L5" s="110"/>
      <c r="M5" s="110"/>
      <c r="N5" s="110"/>
      <c r="R5" s="140">
        <f>M26</f>
        <v>0</v>
      </c>
    </row>
    <row r="6" spans="1:26" ht="18" customHeight="1">
      <c r="A6" s="179"/>
      <c r="B6" s="114"/>
      <c r="O6" s="113"/>
    </row>
    <row r="7" spans="1:26" ht="18" customHeight="1">
      <c r="A7" s="182"/>
      <c r="B7" s="114"/>
      <c r="C7" s="110"/>
      <c r="D7" s="110"/>
      <c r="E7" s="110"/>
      <c r="F7" s="110"/>
      <c r="G7" s="110"/>
      <c r="H7" s="110"/>
      <c r="I7" s="212" t="s">
        <v>121</v>
      </c>
      <c r="J7" s="213"/>
      <c r="K7" s="213"/>
      <c r="L7" s="213"/>
      <c r="M7" s="213"/>
      <c r="N7" s="214"/>
    </row>
    <row r="8" spans="1:26" ht="18" customHeight="1" thickBot="1">
      <c r="A8" s="182"/>
      <c r="B8" s="114"/>
      <c r="C8" s="188"/>
      <c r="D8" s="188" t="s">
        <v>122</v>
      </c>
      <c r="E8" s="188" t="s">
        <v>123</v>
      </c>
      <c r="F8" s="188" t="s">
        <v>124</v>
      </c>
      <c r="G8" s="188" t="s">
        <v>125</v>
      </c>
      <c r="H8" s="110"/>
      <c r="I8" s="186" t="s">
        <v>28</v>
      </c>
      <c r="J8" s="186" t="s">
        <v>30</v>
      </c>
      <c r="K8" s="186" t="s">
        <v>47</v>
      </c>
      <c r="L8" s="186" t="s">
        <v>48</v>
      </c>
      <c r="M8" s="186" t="s">
        <v>22</v>
      </c>
      <c r="N8" s="186" t="s">
        <v>19</v>
      </c>
    </row>
    <row r="9" spans="1:26" ht="18" customHeight="1" thickBot="1">
      <c r="A9" s="182"/>
      <c r="B9" s="114"/>
      <c r="C9" s="199" t="s">
        <v>126</v>
      </c>
      <c r="D9" s="200">
        <v>0</v>
      </c>
      <c r="E9" s="200">
        <v>180000</v>
      </c>
      <c r="F9" s="201">
        <v>4.4999999999999998E-2</v>
      </c>
      <c r="G9" s="200">
        <v>0</v>
      </c>
      <c r="H9" s="115"/>
      <c r="I9" s="201">
        <v>0.188</v>
      </c>
      <c r="J9" s="201">
        <v>0.152</v>
      </c>
      <c r="K9" s="201">
        <v>0.1767</v>
      </c>
      <c r="L9" s="201">
        <v>3.8300000000000001E-2</v>
      </c>
      <c r="M9" s="201">
        <v>0</v>
      </c>
      <c r="N9" s="201">
        <v>0.44500000000000001</v>
      </c>
      <c r="R9" s="141">
        <v>0.188</v>
      </c>
      <c r="S9" s="142">
        <v>0.152</v>
      </c>
      <c r="T9" s="142">
        <v>0.1767</v>
      </c>
      <c r="U9" s="142">
        <v>3.8300000000000001E-2</v>
      </c>
      <c r="V9" s="142">
        <v>0.44500000000000001</v>
      </c>
    </row>
    <row r="10" spans="1:26" ht="18" customHeight="1" thickBot="1">
      <c r="A10" s="182"/>
      <c r="B10" s="114"/>
      <c r="C10" s="195" t="s">
        <v>127</v>
      </c>
      <c r="D10" s="196">
        <v>180000.01</v>
      </c>
      <c r="E10" s="196">
        <v>360000</v>
      </c>
      <c r="F10" s="197">
        <v>0.09</v>
      </c>
      <c r="G10" s="196">
        <v>8100</v>
      </c>
      <c r="H10" s="115"/>
      <c r="I10" s="197">
        <v>0.19800000000000001</v>
      </c>
      <c r="J10" s="197">
        <v>0.152</v>
      </c>
      <c r="K10" s="197">
        <v>0.20549999999999999</v>
      </c>
      <c r="L10" s="197">
        <v>4.4499999999999998E-2</v>
      </c>
      <c r="M10" s="197">
        <v>0</v>
      </c>
      <c r="N10" s="197">
        <v>0.4</v>
      </c>
      <c r="R10" s="143">
        <v>0.19800000000000001</v>
      </c>
      <c r="S10" s="131">
        <v>0.152</v>
      </c>
      <c r="T10" s="131">
        <v>0.20549999999999999</v>
      </c>
      <c r="U10" s="131">
        <v>4.4499999999999998E-2</v>
      </c>
      <c r="V10" s="131">
        <v>0.4</v>
      </c>
    </row>
    <row r="11" spans="1:26" ht="18" customHeight="1" thickBot="1">
      <c r="A11" s="182"/>
      <c r="B11" s="116"/>
      <c r="C11" s="199" t="s">
        <v>128</v>
      </c>
      <c r="D11" s="200">
        <v>360000.01</v>
      </c>
      <c r="E11" s="200">
        <v>720000</v>
      </c>
      <c r="F11" s="201">
        <v>0.10199999999999999</v>
      </c>
      <c r="G11" s="200">
        <v>12420</v>
      </c>
      <c r="H11" s="115"/>
      <c r="I11" s="201">
        <v>0.20799999999999999</v>
      </c>
      <c r="J11" s="201">
        <v>0.152</v>
      </c>
      <c r="K11" s="201">
        <v>0.1973</v>
      </c>
      <c r="L11" s="201">
        <v>4.2700000000000002E-2</v>
      </c>
      <c r="M11" s="201">
        <v>0</v>
      </c>
      <c r="N11" s="201">
        <v>0.4</v>
      </c>
      <c r="P11" s="135">
        <v>0.05</v>
      </c>
      <c r="Q11" s="133">
        <f>P11/N12</f>
        <v>0.125</v>
      </c>
      <c r="R11" s="143">
        <v>0.20799999999999999</v>
      </c>
      <c r="S11" s="131">
        <v>0.152</v>
      </c>
      <c r="T11" s="131">
        <v>0.1973</v>
      </c>
      <c r="U11" s="131">
        <v>4.2700000000000002E-2</v>
      </c>
      <c r="V11" s="131">
        <v>0.4</v>
      </c>
    </row>
    <row r="12" spans="1:26" ht="18" customHeight="1" thickBot="1">
      <c r="A12" s="183"/>
      <c r="B12" s="114"/>
      <c r="C12" s="195" t="s">
        <v>129</v>
      </c>
      <c r="D12" s="196">
        <v>720000.01</v>
      </c>
      <c r="E12" s="196">
        <v>1800000</v>
      </c>
      <c r="F12" s="197">
        <v>0.14000000000000001</v>
      </c>
      <c r="G12" s="196">
        <v>39780</v>
      </c>
      <c r="H12" s="115"/>
      <c r="I12" s="197">
        <v>0.17799999999999999</v>
      </c>
      <c r="J12" s="197">
        <v>0.192</v>
      </c>
      <c r="K12" s="197">
        <v>0.189</v>
      </c>
      <c r="L12" s="197">
        <v>4.1000000000000002E-2</v>
      </c>
      <c r="M12" s="197">
        <v>0</v>
      </c>
      <c r="N12" s="197">
        <v>0.4</v>
      </c>
      <c r="Q12" s="122">
        <f>P11/N13</f>
        <v>0.125</v>
      </c>
      <c r="R12" s="143">
        <v>0.17799999999999999</v>
      </c>
      <c r="S12" s="131">
        <v>0.192</v>
      </c>
      <c r="T12" s="131">
        <v>0.189</v>
      </c>
      <c r="U12" s="131">
        <v>4.1000000000000002E-2</v>
      </c>
      <c r="V12" s="131">
        <v>0.4</v>
      </c>
    </row>
    <row r="13" spans="1:26" ht="18" customHeight="1" thickBot="1">
      <c r="A13" s="182"/>
      <c r="B13" s="117"/>
      <c r="C13" s="199" t="s">
        <v>130</v>
      </c>
      <c r="D13" s="200">
        <v>1800000.01</v>
      </c>
      <c r="E13" s="200">
        <v>3600000</v>
      </c>
      <c r="F13" s="201">
        <v>0.22</v>
      </c>
      <c r="G13" s="200">
        <v>183780</v>
      </c>
      <c r="H13" s="115"/>
      <c r="I13" s="201">
        <v>0.188</v>
      </c>
      <c r="J13" s="201">
        <v>0.192</v>
      </c>
      <c r="K13" s="201">
        <v>0.18079999999999999</v>
      </c>
      <c r="L13" s="201">
        <v>3.9199999999999999E-2</v>
      </c>
      <c r="M13" s="201">
        <v>0</v>
      </c>
      <c r="N13" s="201">
        <v>0.4</v>
      </c>
      <c r="Q13" s="122">
        <f>P11/N11</f>
        <v>0.125</v>
      </c>
      <c r="R13" s="143">
        <v>0.188</v>
      </c>
      <c r="S13" s="131">
        <v>0.192</v>
      </c>
      <c r="T13" s="131">
        <v>0.18079999999999999</v>
      </c>
      <c r="U13" s="131">
        <v>3.9199999999999999E-2</v>
      </c>
      <c r="V13" s="131">
        <v>0.4</v>
      </c>
    </row>
    <row r="14" spans="1:26" ht="18" customHeight="1" thickBot="1">
      <c r="A14" s="183"/>
      <c r="B14" s="106"/>
      <c r="C14" s="195" t="s">
        <v>131</v>
      </c>
      <c r="D14" s="196">
        <v>3600000.01</v>
      </c>
      <c r="E14" s="196">
        <v>4800000</v>
      </c>
      <c r="F14" s="197">
        <v>0.33</v>
      </c>
      <c r="G14" s="196">
        <v>828000</v>
      </c>
      <c r="H14" s="115"/>
      <c r="I14" s="197">
        <v>0.53500000000000003</v>
      </c>
      <c r="J14" s="197">
        <v>0.215</v>
      </c>
      <c r="K14" s="197">
        <v>0.20549999999999999</v>
      </c>
      <c r="L14" s="197">
        <v>4.4499999999999998E-2</v>
      </c>
      <c r="M14" s="197" t="s">
        <v>135</v>
      </c>
      <c r="N14" s="197">
        <v>0</v>
      </c>
      <c r="R14" s="143">
        <v>0.53500000000000003</v>
      </c>
      <c r="S14" s="131">
        <v>0.215</v>
      </c>
      <c r="T14" s="131">
        <v>0.20549999999999999</v>
      </c>
      <c r="U14" s="131">
        <v>4.4499999999999998E-2</v>
      </c>
      <c r="V14" s="144" t="s">
        <v>135</v>
      </c>
    </row>
    <row r="15" spans="1:26" ht="18" customHeight="1">
      <c r="A15" s="177"/>
      <c r="B15" s="106"/>
      <c r="C15" s="118"/>
      <c r="D15" s="119"/>
      <c r="E15" s="119"/>
      <c r="M15" s="145"/>
    </row>
    <row r="16" spans="1:26" hidden="1">
      <c r="A16" s="177"/>
      <c r="B16" s="106"/>
      <c r="C16" s="118" t="s">
        <v>126</v>
      </c>
      <c r="D16" s="119">
        <f t="shared" ref="D16:D21" si="1">IF(AND($D$5&gt;=D9,$D$5&lt;=E9),($D$5*F9-G9)/$D$5)</f>
        <v>4.4999999999999998E-2</v>
      </c>
      <c r="E16" s="119">
        <f t="shared" ref="E16:E21" si="2">ROUND(D16,5)</f>
        <v>4.4999999999999998E-2</v>
      </c>
      <c r="F16" s="119">
        <f>IF(AND($D$5&gt;=D9,$D$5&lt;=E9),E16,IF(AND($D$5&gt;=D10,$D$5&lt;=E10),E17,IF(AND($D$5&gt;=D11,$D$5&lt;=E11),E18,IF(AND($D$5&gt;=D12,$D$5&lt;=E12),E19,IF(AND($D$5&gt;=D13,$D$5&lt;=E13),E20,IF(AND($D$5&gt;=D14,$D$5&lt;=E14),E21,IF(AND($D$5&gt;=#REF!,$D$5&lt;=#REF!),#REF!,IF(AND($D$5&gt;#REF!),E24))))))))</f>
        <v>4.4999999999999998E-2</v>
      </c>
      <c r="I16" s="120" t="s">
        <v>28</v>
      </c>
      <c r="J16" s="120" t="s">
        <v>30</v>
      </c>
      <c r="K16" s="120" t="s">
        <v>47</v>
      </c>
      <c r="L16" s="120" t="s">
        <v>48</v>
      </c>
      <c r="M16" s="120" t="s">
        <v>22</v>
      </c>
      <c r="N16" s="120" t="s">
        <v>19</v>
      </c>
    </row>
    <row r="17" spans="1:16" hidden="1">
      <c r="A17" s="177"/>
      <c r="B17" s="106"/>
      <c r="C17" s="118" t="s">
        <v>127</v>
      </c>
      <c r="D17" s="119" t="b">
        <f t="shared" si="1"/>
        <v>0</v>
      </c>
      <c r="E17" s="119">
        <f t="shared" si="2"/>
        <v>0</v>
      </c>
      <c r="F17" s="119">
        <f>ROUND(F16,4)</f>
        <v>4.4999999999999998E-2</v>
      </c>
      <c r="I17" s="121">
        <f t="shared" ref="I17:L17" si="3">IF(AND($D$5&gt;=$D$9,$D$5&lt;=$E$9),$E$5*I9,IF(AND($D$5&gt;=$D$10,$D$5&lt;=$E$10),$E$5*I10,IF(AND($D$5&gt;=$D$11,$D$5&lt;=$E$11),$E$5*I11,IF(AND($D$5&gt;=$D$12,$D$5&lt;=$E$12),$E$5*I12,IF(AND($D$5&gt;=$D$13,$D$5&lt;=$E$13),$E$5*I13,IF(AND($D$5&gt;=$D$14,$D$5&lt;=$E$14),$E$5*I14,IF(AND($D$5&gt;=#REF!,$D$5&lt;=#REF!),$E$5*#REF!,IF(AND($D$5&gt;#REF!),$E$5*#REF!))))))))</f>
        <v>8.4600000000000005E-3</v>
      </c>
      <c r="J17" s="121">
        <f t="shared" si="3"/>
        <v>6.8399999999999997E-3</v>
      </c>
      <c r="K17" s="121">
        <f t="shared" si="3"/>
        <v>7.9515000000000002E-3</v>
      </c>
      <c r="L17" s="122">
        <f t="shared" si="3"/>
        <v>1.7235E-3</v>
      </c>
      <c r="M17" s="121">
        <v>0</v>
      </c>
      <c r="N17" s="121">
        <f>IF(AND($D$5&gt;=$D$9,$D$5&lt;=$E$9),$E$5*N9,IF(AND($D$5&gt;=$D$10,$D$5&lt;=$E$10),$E$5*N10,IF(AND($D$5&gt;=$D$11,$D$5&lt;=$E$11),$E$5*N11,IF(AND($D$5&gt;=$D$12,$D$5&lt;=$E$12),$E$5*N12,IF(AND($D$5&gt;=$D$13,$D$5&lt;=$E$13),$E$5*N13,IF(AND($D$5&gt;=$D$14,$D$5&lt;=$E$14),$E$5*N14,IF(AND($D$5&gt;=#REF!,$D$5&lt;=#REF!),$E$5*#REF!,IF(AND($D$5&gt;#REF!),$E$5*#REF!))))))))</f>
        <v>2.0025000000000001E-2</v>
      </c>
      <c r="O17" s="121">
        <f t="shared" ref="O17:O19" si="4">SUM(I17:N17)</f>
        <v>4.4999999999999998E-2</v>
      </c>
    </row>
    <row r="18" spans="1:16" hidden="1">
      <c r="A18" s="177"/>
      <c r="B18" s="106"/>
      <c r="C18" s="118" t="s">
        <v>128</v>
      </c>
      <c r="D18" s="119" t="b">
        <f t="shared" si="1"/>
        <v>0</v>
      </c>
      <c r="E18" s="119">
        <f t="shared" si="2"/>
        <v>0</v>
      </c>
      <c r="I18" s="122">
        <f t="shared" ref="I18:N18" si="5">ROUND(I17,4)</f>
        <v>8.5000000000000006E-3</v>
      </c>
      <c r="J18" s="122">
        <f t="shared" si="5"/>
        <v>6.7999999999999996E-3</v>
      </c>
      <c r="K18" s="122">
        <f t="shared" si="5"/>
        <v>8.0000000000000002E-3</v>
      </c>
      <c r="L18" s="122">
        <f t="shared" si="5"/>
        <v>1.6999999999999999E-3</v>
      </c>
      <c r="M18" s="122">
        <f t="shared" si="5"/>
        <v>0</v>
      </c>
      <c r="N18" s="122">
        <f t="shared" si="5"/>
        <v>0.02</v>
      </c>
      <c r="O18" s="119">
        <f t="shared" si="4"/>
        <v>4.4999999999999998E-2</v>
      </c>
    </row>
    <row r="19" spans="1:16" ht="23.25" hidden="1">
      <c r="A19" s="177"/>
      <c r="B19" s="106"/>
      <c r="C19" s="118" t="s">
        <v>129</v>
      </c>
      <c r="D19" s="119" t="b">
        <f t="shared" si="1"/>
        <v>0</v>
      </c>
      <c r="E19" s="119">
        <f t="shared" si="2"/>
        <v>0</v>
      </c>
      <c r="I19" s="122">
        <f t="shared" ref="I19:N19" si="6">IF(I18=MAX($I$18:$N$18),(I18+$O$21),IF(I18&lt;&gt;MAX($I$18:$N$18),I18))</f>
        <v>8.5000000000000006E-3</v>
      </c>
      <c r="J19" s="122">
        <f t="shared" si="6"/>
        <v>6.7999999999999996E-3</v>
      </c>
      <c r="K19" s="122">
        <f t="shared" si="6"/>
        <v>8.0000000000000002E-3</v>
      </c>
      <c r="L19" s="122">
        <f t="shared" si="6"/>
        <v>1.6999999999999999E-3</v>
      </c>
      <c r="M19" s="122">
        <f t="shared" si="6"/>
        <v>0</v>
      </c>
      <c r="N19" s="122">
        <f t="shared" si="6"/>
        <v>0.02</v>
      </c>
      <c r="O19" s="119">
        <f t="shared" si="4"/>
        <v>4.4999999999999998E-2</v>
      </c>
      <c r="P19" s="123">
        <f>SUM(I19:N19)</f>
        <v>4.4999999999999998E-2</v>
      </c>
    </row>
    <row r="20" spans="1:16" ht="23.25" hidden="1">
      <c r="A20" s="177"/>
      <c r="B20" s="106"/>
      <c r="C20" s="118" t="s">
        <v>130</v>
      </c>
      <c r="D20" s="119" t="b">
        <f t="shared" si="1"/>
        <v>0</v>
      </c>
      <c r="E20" s="119">
        <f t="shared" si="2"/>
        <v>0</v>
      </c>
      <c r="I20" s="122">
        <f t="shared" ref="I20:N20" si="7">ROUND(I19,4)</f>
        <v>8.5000000000000006E-3</v>
      </c>
      <c r="J20" s="122">
        <f t="shared" si="7"/>
        <v>6.7999999999999996E-3</v>
      </c>
      <c r="K20" s="122">
        <f t="shared" si="7"/>
        <v>8.0000000000000002E-3</v>
      </c>
      <c r="L20" s="122">
        <f t="shared" si="7"/>
        <v>1.6999999999999999E-3</v>
      </c>
      <c r="M20" s="122">
        <f t="shared" si="7"/>
        <v>0</v>
      </c>
      <c r="N20" s="122">
        <f t="shared" si="7"/>
        <v>0.02</v>
      </c>
      <c r="P20" s="124" t="str">
        <f>IF(E5=P19,"OK")</f>
        <v>OK</v>
      </c>
    </row>
    <row r="21" spans="1:16" ht="15.75" hidden="1" customHeight="1">
      <c r="A21" s="177"/>
      <c r="B21" s="106"/>
      <c r="C21" s="118" t="s">
        <v>131</v>
      </c>
      <c r="D21" s="119" t="b">
        <f t="shared" si="1"/>
        <v>0</v>
      </c>
      <c r="E21" s="119">
        <f t="shared" si="2"/>
        <v>0</v>
      </c>
      <c r="I21" s="122">
        <f t="shared" ref="I21:N21" si="8">I20-I18</f>
        <v>0</v>
      </c>
      <c r="J21" s="122">
        <f t="shared" si="8"/>
        <v>0</v>
      </c>
      <c r="K21" s="122">
        <f t="shared" si="8"/>
        <v>0</v>
      </c>
      <c r="L21" s="122">
        <f t="shared" si="8"/>
        <v>0</v>
      </c>
      <c r="M21" s="122">
        <f t="shared" si="8"/>
        <v>0</v>
      </c>
      <c r="N21" s="122">
        <f t="shared" si="8"/>
        <v>0</v>
      </c>
      <c r="O21" s="119">
        <f>E5-O18</f>
        <v>0</v>
      </c>
    </row>
    <row r="22" spans="1:16" ht="15.75" hidden="1" customHeight="1">
      <c r="A22" s="177"/>
      <c r="B22" s="106"/>
      <c r="C22" s="118"/>
      <c r="D22" s="119"/>
      <c r="E22" s="119"/>
      <c r="I22" s="122">
        <f t="shared" ref="I22:N22" si="9">I20</f>
        <v>8.5000000000000006E-3</v>
      </c>
      <c r="J22" s="122">
        <f t="shared" si="9"/>
        <v>6.7999999999999996E-3</v>
      </c>
      <c r="K22" s="122">
        <f t="shared" si="9"/>
        <v>8.0000000000000002E-3</v>
      </c>
      <c r="L22" s="122">
        <f t="shared" si="9"/>
        <v>1.6999999999999999E-3</v>
      </c>
      <c r="M22" s="122">
        <f t="shared" si="9"/>
        <v>0</v>
      </c>
      <c r="N22" s="122">
        <f t="shared" si="9"/>
        <v>0.02</v>
      </c>
      <c r="O22" s="122">
        <f>N22-P11</f>
        <v>-3.0000000000000002E-2</v>
      </c>
      <c r="P22" s="122">
        <f>IF(O22&gt;0,O22,0)</f>
        <v>0</v>
      </c>
    </row>
    <row r="23" spans="1:16" ht="15.75" hidden="1" customHeight="1">
      <c r="A23" s="177"/>
      <c r="B23" s="106"/>
      <c r="C23" s="118"/>
      <c r="D23" s="119"/>
      <c r="E23" s="119"/>
      <c r="I23" s="122">
        <f t="shared" ref="I23:M23" si="10">$P$22*I31</f>
        <v>0</v>
      </c>
      <c r="J23" s="122">
        <f t="shared" si="10"/>
        <v>0</v>
      </c>
      <c r="K23" s="122">
        <f t="shared" si="10"/>
        <v>0</v>
      </c>
      <c r="L23" s="122">
        <f t="shared" si="10"/>
        <v>0</v>
      </c>
      <c r="M23" s="122">
        <f t="shared" si="10"/>
        <v>0</v>
      </c>
      <c r="O23" s="122">
        <f t="shared" ref="O23:O26" si="11">SUM(I23:N23)</f>
        <v>0</v>
      </c>
    </row>
    <row r="24" spans="1:16" ht="15.75" hidden="1" customHeight="1">
      <c r="A24" s="177"/>
      <c r="B24" s="106"/>
      <c r="C24" s="118"/>
      <c r="D24" s="119"/>
      <c r="E24" s="119"/>
      <c r="I24" s="122">
        <f t="shared" ref="I24:M24" si="12">I20+I23</f>
        <v>8.5000000000000006E-3</v>
      </c>
      <c r="J24" s="122">
        <f t="shared" si="12"/>
        <v>6.7999999999999996E-3</v>
      </c>
      <c r="K24" s="122">
        <f t="shared" si="12"/>
        <v>8.0000000000000002E-3</v>
      </c>
      <c r="L24" s="122">
        <f t="shared" si="12"/>
        <v>1.6999999999999999E-3</v>
      </c>
      <c r="M24" s="122">
        <f t="shared" si="12"/>
        <v>0</v>
      </c>
      <c r="N24" s="122">
        <f>N22-P22</f>
        <v>0.02</v>
      </c>
      <c r="O24" s="122">
        <f t="shared" si="11"/>
        <v>4.4999999999999998E-2</v>
      </c>
    </row>
    <row r="25" spans="1:16" ht="15.75" hidden="1" customHeight="1">
      <c r="A25" s="177"/>
      <c r="B25" s="106"/>
      <c r="I25" s="122">
        <f t="shared" ref="I25:M25" si="13">ROUND(I24,4)</f>
        <v>8.5000000000000006E-3</v>
      </c>
      <c r="J25" s="122">
        <f t="shared" si="13"/>
        <v>6.7999999999999996E-3</v>
      </c>
      <c r="K25" s="122">
        <f t="shared" si="13"/>
        <v>8.0000000000000002E-3</v>
      </c>
      <c r="L25" s="122">
        <f t="shared" si="13"/>
        <v>1.6999999999999999E-3</v>
      </c>
      <c r="M25" s="122">
        <f t="shared" si="13"/>
        <v>0</v>
      </c>
      <c r="N25" s="122">
        <f>TRUNC(N24,4)</f>
        <v>0.02</v>
      </c>
      <c r="O25" s="122">
        <f t="shared" si="11"/>
        <v>4.4999999999999998E-2</v>
      </c>
      <c r="P25" s="122">
        <f>O24-O25</f>
        <v>0</v>
      </c>
    </row>
    <row r="26" spans="1:16" ht="15.75" hidden="1" customHeight="1">
      <c r="A26" s="177"/>
      <c r="B26" s="106"/>
      <c r="I26" s="122">
        <f t="shared" ref="I26:L26" si="14">IF(I25=MAX($I$25:$L$25),(I25+$P$25),IF(I25&lt;&gt;MAX($I$25:$L$25),I25))</f>
        <v>8.5000000000000006E-3</v>
      </c>
      <c r="J26" s="122">
        <f t="shared" si="14"/>
        <v>6.7999999999999996E-3</v>
      </c>
      <c r="K26" s="122">
        <f t="shared" si="14"/>
        <v>8.0000000000000002E-3</v>
      </c>
      <c r="L26" s="122">
        <f t="shared" si="14"/>
        <v>1.6999999999999999E-3</v>
      </c>
      <c r="M26" s="122">
        <f>IF(M25=MAX($I$25:$N$25),(M25+$P$25),IF(M25&lt;&gt;MAX($I$25:$N$25),M25))</f>
        <v>0</v>
      </c>
      <c r="N26" s="122">
        <f>N25</f>
        <v>0.02</v>
      </c>
      <c r="O26" s="123">
        <f t="shared" si="11"/>
        <v>4.4999999999999998E-2</v>
      </c>
    </row>
    <row r="27" spans="1:16" ht="15.75" hidden="1" customHeight="1">
      <c r="A27" s="177"/>
      <c r="B27" s="106"/>
    </row>
    <row r="28" spans="1:16" ht="15.75" hidden="1" customHeight="1">
      <c r="A28" s="177"/>
      <c r="B28" s="106"/>
    </row>
    <row r="29" spans="1:16" ht="15.75" hidden="1" customHeight="1">
      <c r="A29" s="177"/>
      <c r="B29" s="106"/>
    </row>
    <row r="30" spans="1:16" ht="15.75" hidden="1" customHeight="1">
      <c r="A30" s="177"/>
      <c r="B30" s="106"/>
      <c r="I30" s="143">
        <v>0.188</v>
      </c>
      <c r="J30" s="131">
        <v>0.192</v>
      </c>
      <c r="K30" s="131">
        <v>0.18079999999999999</v>
      </c>
      <c r="L30" s="131">
        <v>3.9199999999999999E-2</v>
      </c>
      <c r="M30" s="138">
        <f>SUM(I30:L30)</f>
        <v>0.6</v>
      </c>
      <c r="N30" s="122"/>
    </row>
    <row r="31" spans="1:16" ht="15.75" hidden="1" customHeight="1">
      <c r="A31" s="177"/>
      <c r="B31" s="106"/>
      <c r="I31" s="122">
        <f t="shared" ref="I31:L31" si="15">I30/$M$30</f>
        <v>0.31333333333333335</v>
      </c>
      <c r="J31" s="122">
        <f t="shared" si="15"/>
        <v>0.32</v>
      </c>
      <c r="K31" s="122">
        <f t="shared" si="15"/>
        <v>0.30133333333333334</v>
      </c>
      <c r="L31" s="122">
        <f t="shared" si="15"/>
        <v>6.533333333333334E-2</v>
      </c>
      <c r="M31" s="122"/>
    </row>
    <row r="32" spans="1:16" ht="15.75" hidden="1" customHeight="1">
      <c r="A32" s="177"/>
      <c r="B32" s="106"/>
      <c r="I32" s="122">
        <f>ROUND(I31,4)</f>
        <v>0.31330000000000002</v>
      </c>
      <c r="J32" s="122">
        <v>0.33110000000000001</v>
      </c>
      <c r="K32" s="122">
        <f t="shared" ref="K32:L32" si="16">ROUND(K31,4)</f>
        <v>0.30130000000000001</v>
      </c>
      <c r="L32" s="122">
        <f t="shared" si="16"/>
        <v>6.5299999999999997E-2</v>
      </c>
      <c r="M32" s="122"/>
    </row>
    <row r="33" spans="1:26" ht="15.75" hidden="1" customHeight="1">
      <c r="A33" s="177"/>
      <c r="B33" s="106"/>
      <c r="I33" s="122">
        <f t="shared" ref="I33:M33" si="17">($E$5-5%)*I32</f>
        <v>-1.5665000000000015E-3</v>
      </c>
      <c r="J33" s="122">
        <f t="shared" si="17"/>
        <v>-1.6555000000000016E-3</v>
      </c>
      <c r="K33" s="122">
        <f t="shared" si="17"/>
        <v>-1.5065000000000013E-3</v>
      </c>
      <c r="L33" s="122">
        <f t="shared" si="17"/>
        <v>-3.2650000000000029E-4</v>
      </c>
      <c r="M33" s="122">
        <f t="shared" si="17"/>
        <v>0</v>
      </c>
      <c r="N33" s="135">
        <v>0.05</v>
      </c>
      <c r="O33" s="133">
        <f t="shared" ref="O33:O35" si="18">SUM(I33:N33)</f>
        <v>4.4944999999999999E-2</v>
      </c>
    </row>
    <row r="34" spans="1:26" ht="15.75" hidden="1" customHeight="1">
      <c r="A34" s="177"/>
      <c r="B34" s="106"/>
      <c r="I34" s="122">
        <f t="shared" ref="I34:N34" si="19">ROUND(I33,4)</f>
        <v>-1.6000000000000001E-3</v>
      </c>
      <c r="J34" s="122">
        <f t="shared" si="19"/>
        <v>-1.6999999999999999E-3</v>
      </c>
      <c r="K34" s="122">
        <f t="shared" si="19"/>
        <v>-1.5E-3</v>
      </c>
      <c r="L34" s="122">
        <f t="shared" si="19"/>
        <v>-2.9999999999999997E-4</v>
      </c>
      <c r="M34" s="122">
        <f t="shared" si="19"/>
        <v>0</v>
      </c>
      <c r="N34" s="122">
        <f t="shared" si="19"/>
        <v>0.05</v>
      </c>
      <c r="O34" s="133">
        <f t="shared" si="18"/>
        <v>4.4900000000000002E-2</v>
      </c>
      <c r="P34" s="133">
        <f>-O34+O33</f>
        <v>4.4999999999996432E-5</v>
      </c>
    </row>
    <row r="35" spans="1:26" ht="15.75" hidden="1" customHeight="1">
      <c r="A35" s="177"/>
      <c r="B35" s="106"/>
      <c r="I35" s="122">
        <f t="shared" ref="I35:M35" si="20">IF(I34=MAX($I$33:$N$33),(I34+$P$33),IF(I34&lt;&gt;MAX($I$33:$N$33),I34))</f>
        <v>-1.6000000000000001E-3</v>
      </c>
      <c r="J35" s="122">
        <f t="shared" si="20"/>
        <v>-1.6999999999999999E-3</v>
      </c>
      <c r="K35" s="122">
        <f t="shared" si="20"/>
        <v>-1.5E-3</v>
      </c>
      <c r="L35" s="122">
        <f t="shared" si="20"/>
        <v>-2.9999999999999997E-4</v>
      </c>
      <c r="M35" s="122">
        <f t="shared" si="20"/>
        <v>0</v>
      </c>
      <c r="N35" s="122">
        <f>IF(N34=MAX($I$18:$N$18),(N34+$O$21),IF(N34&lt;&gt;MAX($I$18:$N$18),N34))</f>
        <v>0.05</v>
      </c>
      <c r="O35" s="122">
        <f t="shared" si="18"/>
        <v>4.4900000000000002E-2</v>
      </c>
    </row>
    <row r="36" spans="1:26" ht="15.75" hidden="1" customHeight="1">
      <c r="A36" s="177"/>
      <c r="B36" s="106"/>
    </row>
    <row r="37" spans="1:26" ht="15.75" hidden="1" customHeight="1">
      <c r="A37" s="177"/>
      <c r="B37" s="106"/>
    </row>
    <row r="38" spans="1:26" ht="15.75" hidden="1" customHeight="1">
      <c r="A38" s="177"/>
      <c r="B38" s="106"/>
      <c r="I38" s="122">
        <f t="shared" ref="I38:N38" si="21">IF($E$5&lt;=$Q$11,($E$5)*I13)</f>
        <v>8.4600000000000005E-3</v>
      </c>
      <c r="J38" s="122">
        <f t="shared" si="21"/>
        <v>8.6400000000000001E-3</v>
      </c>
      <c r="K38" s="122">
        <f t="shared" si="21"/>
        <v>8.1359999999999991E-3</v>
      </c>
      <c r="L38" s="122">
        <f t="shared" si="21"/>
        <v>1.7639999999999999E-3</v>
      </c>
      <c r="M38" s="122">
        <f t="shared" si="21"/>
        <v>0</v>
      </c>
      <c r="N38" s="122">
        <f t="shared" si="21"/>
        <v>1.7999999999999999E-2</v>
      </c>
    </row>
    <row r="39" spans="1:26" ht="15.75" hidden="1" customHeight="1">
      <c r="A39" s="177"/>
      <c r="B39" s="106"/>
      <c r="I39" s="122" t="b">
        <f t="shared" ref="I39:M39" si="22">IF($E$5&gt;$Q$11,($E$5-$P$11)*I32)</f>
        <v>0</v>
      </c>
      <c r="J39" s="122" t="b">
        <f t="shared" si="22"/>
        <v>0</v>
      </c>
      <c r="K39" s="122" t="b">
        <f t="shared" si="22"/>
        <v>0</v>
      </c>
      <c r="L39" s="122" t="b">
        <f t="shared" si="22"/>
        <v>0</v>
      </c>
      <c r="M39" s="122" t="b">
        <f t="shared" si="22"/>
        <v>0</v>
      </c>
    </row>
    <row r="40" spans="1:26" ht="15.75" hidden="1" customHeight="1">
      <c r="A40" s="177"/>
      <c r="B40" s="106"/>
    </row>
    <row r="41" spans="1:26" ht="15.75" hidden="1" customHeight="1">
      <c r="A41" s="177"/>
      <c r="B41" s="106"/>
    </row>
    <row r="42" spans="1:26" ht="15.75" hidden="1" customHeight="1">
      <c r="A42" s="177"/>
      <c r="B42" s="106"/>
    </row>
    <row r="43" spans="1:26" ht="15.75" hidden="1" customHeight="1">
      <c r="A43" s="177"/>
      <c r="B43" s="106"/>
    </row>
    <row r="44" spans="1:26" ht="15.75" hidden="1" customHeight="1">
      <c r="A44" s="177"/>
      <c r="B44" s="106"/>
    </row>
    <row r="45" spans="1:26" ht="15.75" hidden="1" customHeight="1">
      <c r="A45" s="177"/>
      <c r="B45" s="106"/>
    </row>
    <row r="46" spans="1:26" ht="15.75" hidden="1" customHeight="1">
      <c r="A46" s="177"/>
      <c r="B46" s="106"/>
    </row>
    <row r="47" spans="1:26" ht="15.75" customHeight="1">
      <c r="A47" s="177"/>
      <c r="B47" s="106"/>
    </row>
    <row r="48" spans="1:26" ht="18" customHeight="1">
      <c r="A48" s="177"/>
      <c r="B48" s="10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</row>
    <row r="49" spans="1:26" ht="15.75" customHeight="1">
      <c r="A49" s="177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</row>
    <row r="50" spans="1:26" ht="15.75" customHeight="1">
      <c r="A50" s="177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</row>
    <row r="51" spans="1:26" ht="15.75" customHeight="1">
      <c r="A51" s="177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</row>
    <row r="52" spans="1:26" ht="15.75" customHeight="1">
      <c r="A52" s="177"/>
      <c r="B52" s="126"/>
      <c r="C52" s="126"/>
      <c r="D52" s="14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</row>
    <row r="53" spans="1:26" ht="15.75" customHeight="1">
      <c r="A53" s="177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</row>
  </sheetData>
  <sheetProtection algorithmName="SHA-512" hashValue="UjwQFetB+gpNjpvv+hSEtiTEFr5dxoIbYX6TEhxZj6XO07wXSvo8rUNEet+Gt4OFYqn6XfpM7IwKBozix2CxnA==" saltValue="ROWjiZTrPMOZQ6q8cacnRw==" spinCount="100000" sheet="1" objects="1" scenarios="1" selectLockedCells="1"/>
  <mergeCells count="9">
    <mergeCell ref="J5:K5"/>
    <mergeCell ref="I7:N7"/>
    <mergeCell ref="C1:L1"/>
    <mergeCell ref="M1:Q1"/>
    <mergeCell ref="C3:C4"/>
    <mergeCell ref="D3:D4"/>
    <mergeCell ref="E3:E4"/>
    <mergeCell ref="F3:K3"/>
    <mergeCell ref="J4:K4"/>
  </mergeCells>
  <conditionalFormatting sqref="I21:N21">
    <cfRule type="expression" dxfId="7" priority="1">
      <formula>"SE+$G$19&lt;&gt;0"</formula>
    </cfRule>
  </conditionalFormatting>
  <conditionalFormatting sqref="I21:N21">
    <cfRule type="cellIs" dxfId="6" priority="2" operator="notEqual">
      <formula>0</formula>
    </cfRule>
  </conditionalFormatting>
  <conditionalFormatting sqref="I21:N21">
    <cfRule type="cellIs" dxfId="5" priority="3" operator="lessThan">
      <formula>0</formula>
    </cfRule>
  </conditionalFormatting>
  <conditionalFormatting sqref="I21:N21">
    <cfRule type="cellIs" dxfId="4" priority="4" operator="greaterThan">
      <formula>0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showGridLines="0" workbookViewId="0">
      <selection activeCell="C2" sqref="C2"/>
    </sheetView>
  </sheetViews>
  <sheetFormatPr defaultColWidth="14.42578125" defaultRowHeight="15" customHeight="1"/>
  <cols>
    <col min="1" max="1" width="26.5703125" style="184" customWidth="1"/>
    <col min="2" max="2" width="6.42578125" style="108" customWidth="1"/>
    <col min="3" max="3" width="23.7109375" style="108" customWidth="1"/>
    <col min="4" max="4" width="32.85546875" style="108" bestFit="1" customWidth="1"/>
    <col min="5" max="7" width="15.7109375" style="108" customWidth="1"/>
    <col min="8" max="8" width="12.28515625" style="108" customWidth="1"/>
    <col min="9" max="14" width="14.28515625" style="108" customWidth="1"/>
    <col min="15" max="15" width="8.140625" style="108" customWidth="1"/>
    <col min="16" max="16" width="13.42578125" style="108" customWidth="1"/>
    <col min="17" max="26" width="8.7109375" style="108" customWidth="1"/>
    <col min="27" max="16384" width="14.42578125" style="108"/>
  </cols>
  <sheetData>
    <row r="1" spans="1:26" ht="51.75" customHeight="1" thickBot="1">
      <c r="A1" s="176"/>
      <c r="B1" s="106"/>
      <c r="C1" s="215" t="s">
        <v>142</v>
      </c>
      <c r="D1" s="216"/>
      <c r="E1" s="216"/>
      <c r="F1" s="216"/>
      <c r="G1" s="216"/>
      <c r="H1" s="216"/>
      <c r="I1" s="216"/>
      <c r="J1" s="216"/>
      <c r="K1" s="216"/>
      <c r="L1" s="216"/>
      <c r="M1" s="217"/>
      <c r="N1" s="216"/>
      <c r="O1" s="216"/>
      <c r="P1" s="216"/>
      <c r="Q1" s="216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5.75" thickTop="1">
      <c r="A2" s="177"/>
      <c r="B2" s="106"/>
    </row>
    <row r="3" spans="1:26" ht="15.75" customHeight="1">
      <c r="A3" s="178"/>
      <c r="B3" s="128"/>
      <c r="C3" s="218"/>
      <c r="D3" s="220" t="s">
        <v>117</v>
      </c>
      <c r="E3" s="218" t="s">
        <v>118</v>
      </c>
      <c r="F3" s="221" t="s">
        <v>119</v>
      </c>
      <c r="G3" s="213"/>
      <c r="H3" s="213"/>
      <c r="I3" s="213"/>
      <c r="J3" s="213"/>
      <c r="K3" s="213"/>
      <c r="L3" s="110"/>
      <c r="M3" s="110"/>
      <c r="N3" s="110"/>
    </row>
    <row r="4" spans="1:26" ht="16.5">
      <c r="A4" s="178"/>
      <c r="B4" s="129"/>
      <c r="C4" s="219"/>
      <c r="D4" s="219"/>
      <c r="E4" s="219"/>
      <c r="F4" s="185" t="s">
        <v>28</v>
      </c>
      <c r="G4" s="186" t="s">
        <v>30</v>
      </c>
      <c r="H4" s="186" t="s">
        <v>47</v>
      </c>
      <c r="I4" s="186" t="s">
        <v>48</v>
      </c>
      <c r="J4" s="186" t="s">
        <v>22</v>
      </c>
      <c r="K4" s="186" t="s">
        <v>19</v>
      </c>
      <c r="L4" s="110"/>
      <c r="M4" s="110"/>
      <c r="N4" s="110"/>
    </row>
    <row r="5" spans="1:26" ht="25.5">
      <c r="A5" s="179"/>
      <c r="B5" s="112"/>
      <c r="C5" s="189" t="s">
        <v>132</v>
      </c>
      <c r="D5" s="191">
        <f>'Entrada de Dados'!H12</f>
        <v>15000</v>
      </c>
      <c r="E5" s="190">
        <f>F17</f>
        <v>0.155</v>
      </c>
      <c r="F5" s="190">
        <f t="shared" ref="F5:K5" si="0">I20</f>
        <v>3.8800000000000001E-2</v>
      </c>
      <c r="G5" s="190">
        <f t="shared" si="0"/>
        <v>2.3300000000000001E-2</v>
      </c>
      <c r="H5" s="190">
        <f t="shared" si="0"/>
        <v>2.1899999999999999E-2</v>
      </c>
      <c r="I5" s="190">
        <f t="shared" si="0"/>
        <v>4.7000000000000002E-3</v>
      </c>
      <c r="J5" s="190">
        <f t="shared" si="0"/>
        <v>4.4600000000000001E-2</v>
      </c>
      <c r="K5" s="190">
        <f t="shared" si="0"/>
        <v>2.1700000000000001E-2</v>
      </c>
      <c r="L5" s="110"/>
      <c r="M5" s="110"/>
      <c r="N5" s="110"/>
    </row>
    <row r="6" spans="1:26" ht="18" customHeight="1">
      <c r="A6" s="180"/>
      <c r="B6" s="114"/>
      <c r="O6" s="113"/>
    </row>
    <row r="7" spans="1:26" ht="18" customHeight="1">
      <c r="A7" s="182"/>
      <c r="B7" s="114"/>
      <c r="C7" s="110"/>
      <c r="D7" s="110"/>
      <c r="E7" s="110"/>
      <c r="F7" s="110"/>
      <c r="G7" s="110"/>
      <c r="H7" s="110"/>
      <c r="I7" s="212" t="s">
        <v>121</v>
      </c>
      <c r="J7" s="213"/>
      <c r="K7" s="213"/>
      <c r="L7" s="213"/>
      <c r="M7" s="213"/>
      <c r="N7" s="214"/>
    </row>
    <row r="8" spans="1:26" ht="18" customHeight="1">
      <c r="A8" s="182"/>
      <c r="B8" s="114"/>
      <c r="C8" s="188"/>
      <c r="D8" s="188" t="s">
        <v>122</v>
      </c>
      <c r="E8" s="188" t="s">
        <v>123</v>
      </c>
      <c r="F8" s="188" t="s">
        <v>124</v>
      </c>
      <c r="G8" s="188" t="s">
        <v>125</v>
      </c>
      <c r="H8" s="110"/>
      <c r="I8" s="186" t="s">
        <v>28</v>
      </c>
      <c r="J8" s="186" t="s">
        <v>30</v>
      </c>
      <c r="K8" s="186" t="s">
        <v>47</v>
      </c>
      <c r="L8" s="186" t="s">
        <v>48</v>
      </c>
      <c r="M8" s="186" t="s">
        <v>22</v>
      </c>
      <c r="N8" s="186" t="s">
        <v>19</v>
      </c>
    </row>
    <row r="9" spans="1:26" ht="18" customHeight="1">
      <c r="A9" s="182"/>
      <c r="B9" s="114"/>
      <c r="C9" s="192" t="s">
        <v>126</v>
      </c>
      <c r="D9" s="193">
        <v>0</v>
      </c>
      <c r="E9" s="193">
        <v>180000</v>
      </c>
      <c r="F9" s="194">
        <v>0.155</v>
      </c>
      <c r="G9" s="193">
        <v>0</v>
      </c>
      <c r="H9" s="115"/>
      <c r="I9" s="194">
        <v>0.25</v>
      </c>
      <c r="J9" s="194">
        <v>0.15</v>
      </c>
      <c r="K9" s="194">
        <v>0.14099999999999999</v>
      </c>
      <c r="L9" s="194">
        <v>3.0499999999999999E-2</v>
      </c>
      <c r="M9" s="194">
        <v>0.28849999999999998</v>
      </c>
      <c r="N9" s="194">
        <v>0.14000000000000001</v>
      </c>
    </row>
    <row r="10" spans="1:26" ht="18" customHeight="1">
      <c r="A10" s="182"/>
      <c r="B10" s="114"/>
      <c r="C10" s="195" t="s">
        <v>127</v>
      </c>
      <c r="D10" s="196">
        <v>180000.01</v>
      </c>
      <c r="E10" s="196">
        <v>360000</v>
      </c>
      <c r="F10" s="197">
        <v>0.18</v>
      </c>
      <c r="G10" s="196">
        <v>4500</v>
      </c>
      <c r="H10" s="115"/>
      <c r="I10" s="197">
        <v>0.23</v>
      </c>
      <c r="J10" s="197">
        <v>0.15</v>
      </c>
      <c r="K10" s="197">
        <v>0.14099999999999999</v>
      </c>
      <c r="L10" s="197">
        <v>3.0499999999999999E-2</v>
      </c>
      <c r="M10" s="197">
        <v>0.27850000000000003</v>
      </c>
      <c r="N10" s="197">
        <v>0.17</v>
      </c>
    </row>
    <row r="11" spans="1:26" ht="18" customHeight="1">
      <c r="A11" s="182"/>
      <c r="B11" s="116"/>
      <c r="C11" s="192" t="s">
        <v>128</v>
      </c>
      <c r="D11" s="193">
        <v>360000.01</v>
      </c>
      <c r="E11" s="193">
        <v>720000</v>
      </c>
      <c r="F11" s="194">
        <v>0.19500000000000001</v>
      </c>
      <c r="G11" s="193">
        <v>9900</v>
      </c>
      <c r="H11" s="115"/>
      <c r="I11" s="194">
        <v>0.24</v>
      </c>
      <c r="J11" s="194">
        <v>0.15</v>
      </c>
      <c r="K11" s="194">
        <v>0.1492</v>
      </c>
      <c r="L11" s="194">
        <v>3.2300000000000002E-2</v>
      </c>
      <c r="M11" s="194">
        <v>0.23849999999999999</v>
      </c>
      <c r="N11" s="194">
        <v>0.19</v>
      </c>
    </row>
    <row r="12" spans="1:26" ht="18" customHeight="1">
      <c r="A12" s="183"/>
      <c r="B12" s="114"/>
      <c r="C12" s="195" t="s">
        <v>129</v>
      </c>
      <c r="D12" s="196">
        <v>720000.01</v>
      </c>
      <c r="E12" s="196">
        <v>1800000</v>
      </c>
      <c r="F12" s="197">
        <v>0.20499999999999999</v>
      </c>
      <c r="G12" s="196">
        <v>17100</v>
      </c>
      <c r="H12" s="115"/>
      <c r="I12" s="197">
        <v>0.21</v>
      </c>
      <c r="J12" s="197">
        <v>0.15</v>
      </c>
      <c r="K12" s="197">
        <v>0.15740000000000001</v>
      </c>
      <c r="L12" s="197">
        <v>3.4099999999999998E-2</v>
      </c>
      <c r="M12" s="197">
        <v>0.23849999999999999</v>
      </c>
      <c r="N12" s="197">
        <v>0.21</v>
      </c>
    </row>
    <row r="13" spans="1:26" ht="18" customHeight="1">
      <c r="A13" s="182"/>
      <c r="B13" s="117"/>
      <c r="C13" s="192" t="s">
        <v>130</v>
      </c>
      <c r="D13" s="193">
        <v>1800000.01</v>
      </c>
      <c r="E13" s="193">
        <v>3600000</v>
      </c>
      <c r="F13" s="194">
        <v>0.23</v>
      </c>
      <c r="G13" s="193">
        <v>62100</v>
      </c>
      <c r="H13" s="115"/>
      <c r="I13" s="194">
        <v>0.23</v>
      </c>
      <c r="J13" s="194">
        <v>0.125</v>
      </c>
      <c r="K13" s="194">
        <v>0.14099999999999999</v>
      </c>
      <c r="L13" s="194">
        <v>3.0499999999999999E-2</v>
      </c>
      <c r="M13" s="194">
        <v>0.23849999999999999</v>
      </c>
      <c r="N13" s="194">
        <v>0.23499999999999999</v>
      </c>
    </row>
    <row r="14" spans="1:26" ht="18" customHeight="1">
      <c r="A14" s="183"/>
      <c r="B14" s="106"/>
      <c r="C14" s="195" t="s">
        <v>131</v>
      </c>
      <c r="D14" s="196">
        <v>3600000.01</v>
      </c>
      <c r="E14" s="196">
        <v>4800000</v>
      </c>
      <c r="F14" s="197">
        <v>0.30499999999999999</v>
      </c>
      <c r="G14" s="196">
        <v>540000</v>
      </c>
      <c r="H14" s="115"/>
      <c r="I14" s="197">
        <v>0.35</v>
      </c>
      <c r="J14" s="197">
        <v>0.155</v>
      </c>
      <c r="K14" s="197">
        <v>0.16439999999999999</v>
      </c>
      <c r="L14" s="197">
        <v>3.56E-2</v>
      </c>
      <c r="M14" s="197">
        <v>0.29499999999999998</v>
      </c>
      <c r="N14" s="197">
        <v>0</v>
      </c>
    </row>
    <row r="15" spans="1:26" ht="18" customHeight="1">
      <c r="A15" s="177"/>
      <c r="B15" s="106"/>
      <c r="C15" s="118"/>
      <c r="D15" s="119"/>
      <c r="E15" s="119"/>
    </row>
    <row r="16" spans="1:26" hidden="1">
      <c r="A16" s="177"/>
      <c r="B16" s="106"/>
      <c r="C16" s="118" t="s">
        <v>126</v>
      </c>
      <c r="D16" s="119">
        <f t="shared" ref="D16:D21" si="1">IF(AND($D$5&gt;=D9,$D$5&lt;=E9),($D$5*F9-G9)/$D$5)</f>
        <v>0.155</v>
      </c>
      <c r="E16" s="119">
        <f t="shared" ref="E16:E21" si="2">ROUND(D16,5)</f>
        <v>0.155</v>
      </c>
      <c r="F16" s="119">
        <f>IF(AND($D$5&gt;=D9,$D$5&lt;=E9),E16,IF(AND($D$5&gt;=D10,$D$5&lt;=E10),E17,IF(AND($D$5&gt;=D11,$D$5&lt;=E11),E18,IF(AND($D$5&gt;=D12,$D$5&lt;=E12),E19,IF(AND($D$5&gt;=D13,$D$5&lt;=E13),E20,IF(AND($D$5&gt;=D14,$D$5&lt;=E14),E21,IF(AND($D$5&gt;=#REF!,$D$5&lt;=#REF!),#REF!,IF(AND($D$5&gt;#REF!),E22))))))))</f>
        <v>0.155</v>
      </c>
      <c r="I16" s="120" t="s">
        <v>28</v>
      </c>
      <c r="J16" s="120" t="s">
        <v>30</v>
      </c>
      <c r="K16" s="120" t="s">
        <v>47</v>
      </c>
      <c r="L16" s="120" t="s">
        <v>48</v>
      </c>
      <c r="M16" s="120" t="s">
        <v>22</v>
      </c>
      <c r="N16" s="120" t="s">
        <v>19</v>
      </c>
    </row>
    <row r="17" spans="1:26" hidden="1">
      <c r="A17" s="177"/>
      <c r="B17" s="106"/>
      <c r="C17" s="118" t="s">
        <v>127</v>
      </c>
      <c r="D17" s="119" t="b">
        <f t="shared" si="1"/>
        <v>0</v>
      </c>
      <c r="E17" s="119">
        <f t="shared" si="2"/>
        <v>0</v>
      </c>
      <c r="F17" s="119">
        <f>ROUND(F16,4)</f>
        <v>0.155</v>
      </c>
      <c r="I17" s="121">
        <f t="shared" ref="I17:N17" si="3">IF(AND($D$5&gt;=$D$9,$D$5&lt;=$E$9),$E$5*I9,IF(AND($D$5&gt;=$D$10,$D$5&lt;=$E$10),$E$5*I10,IF(AND($D$5&gt;=$D$11,$D$5&lt;=$E$11),$E$5*I11,IF(AND($D$5&gt;=$D$12,$D$5&lt;=$E$12),$E$5*I12,IF(AND($D$5&gt;=$D$13,$D$5&lt;=$E$13),$E$5*I13,IF(AND($D$5&gt;=$D$14,$D$5&lt;=$E$14),$E$5*I14,IF(AND($D$5&gt;=#REF!,$D$5&lt;=#REF!),$E$5*#REF!,IF(AND($D$5&gt;#REF!),$E$5*#REF!))))))))</f>
        <v>3.875E-2</v>
      </c>
      <c r="J17" s="121">
        <f t="shared" si="3"/>
        <v>2.325E-2</v>
      </c>
      <c r="K17" s="121">
        <f t="shared" si="3"/>
        <v>2.1854999999999999E-2</v>
      </c>
      <c r="L17" s="122">
        <f t="shared" si="3"/>
        <v>4.7274999999999999E-3</v>
      </c>
      <c r="M17" s="121">
        <f t="shared" si="3"/>
        <v>4.4717499999999993E-2</v>
      </c>
      <c r="N17" s="121">
        <f t="shared" si="3"/>
        <v>2.1700000000000001E-2</v>
      </c>
    </row>
    <row r="18" spans="1:26" hidden="1">
      <c r="A18" s="177"/>
      <c r="B18" s="106"/>
      <c r="C18" s="118" t="s">
        <v>128</v>
      </c>
      <c r="D18" s="119" t="b">
        <f t="shared" si="1"/>
        <v>0</v>
      </c>
      <c r="E18" s="119">
        <f t="shared" si="2"/>
        <v>0</v>
      </c>
      <c r="I18" s="122">
        <f t="shared" ref="I18:N18" si="4">ROUND(I17,4)</f>
        <v>3.8800000000000001E-2</v>
      </c>
      <c r="J18" s="122">
        <f t="shared" si="4"/>
        <v>2.3300000000000001E-2</v>
      </c>
      <c r="K18" s="122">
        <f t="shared" si="4"/>
        <v>2.1899999999999999E-2</v>
      </c>
      <c r="L18" s="122">
        <f t="shared" si="4"/>
        <v>4.7000000000000002E-3</v>
      </c>
      <c r="M18" s="122">
        <f t="shared" si="4"/>
        <v>4.4699999999999997E-2</v>
      </c>
      <c r="N18" s="122">
        <f t="shared" si="4"/>
        <v>2.1700000000000001E-2</v>
      </c>
      <c r="O18" s="119">
        <f t="shared" ref="O18:O19" si="5">SUM(I18:N18)</f>
        <v>0.15509999999999999</v>
      </c>
    </row>
    <row r="19" spans="1:26" ht="23.25" hidden="1">
      <c r="A19" s="177"/>
      <c r="B19" s="106"/>
      <c r="C19" s="118" t="s">
        <v>129</v>
      </c>
      <c r="D19" s="119" t="b">
        <f t="shared" si="1"/>
        <v>0</v>
      </c>
      <c r="E19" s="119">
        <f t="shared" si="2"/>
        <v>0</v>
      </c>
      <c r="I19" s="122">
        <f t="shared" ref="I19:N19" si="6">IF(I18=MAX($I$18:$N$18),(I18+$O$21),IF(I18&lt;&gt;MAX($I$18:$N$18),I18))</f>
        <v>3.8800000000000001E-2</v>
      </c>
      <c r="J19" s="122">
        <f t="shared" si="6"/>
        <v>2.3300000000000001E-2</v>
      </c>
      <c r="K19" s="122">
        <f t="shared" si="6"/>
        <v>2.1899999999999999E-2</v>
      </c>
      <c r="L19" s="122">
        <f t="shared" si="6"/>
        <v>4.7000000000000002E-3</v>
      </c>
      <c r="M19" s="122">
        <f t="shared" si="6"/>
        <v>4.4600000000000008E-2</v>
      </c>
      <c r="N19" s="122">
        <f t="shared" si="6"/>
        <v>2.1700000000000001E-2</v>
      </c>
      <c r="O19" s="119">
        <f t="shared" si="5"/>
        <v>0.155</v>
      </c>
      <c r="P19" s="123">
        <f>SUM(I19:N19)</f>
        <v>0.155</v>
      </c>
    </row>
    <row r="20" spans="1:26" ht="23.25" hidden="1">
      <c r="A20" s="177"/>
      <c r="B20" s="106"/>
      <c r="C20" s="118" t="s">
        <v>130</v>
      </c>
      <c r="D20" s="119" t="b">
        <f t="shared" si="1"/>
        <v>0</v>
      </c>
      <c r="E20" s="119">
        <f t="shared" si="2"/>
        <v>0</v>
      </c>
      <c r="I20" s="122">
        <f t="shared" ref="I20:N20" si="7">ROUND(I19,4)</f>
        <v>3.8800000000000001E-2</v>
      </c>
      <c r="J20" s="122">
        <f t="shared" si="7"/>
        <v>2.3300000000000001E-2</v>
      </c>
      <c r="K20" s="122">
        <f t="shared" si="7"/>
        <v>2.1899999999999999E-2</v>
      </c>
      <c r="L20" s="122">
        <f t="shared" si="7"/>
        <v>4.7000000000000002E-3</v>
      </c>
      <c r="M20" s="122">
        <f t="shared" si="7"/>
        <v>4.4600000000000001E-2</v>
      </c>
      <c r="N20" s="122">
        <f t="shared" si="7"/>
        <v>2.1700000000000001E-2</v>
      </c>
      <c r="P20" s="124" t="str">
        <f>IF(E5=P19,"OK")</f>
        <v>OK</v>
      </c>
    </row>
    <row r="21" spans="1:26" ht="15.75" hidden="1" customHeight="1">
      <c r="A21" s="177"/>
      <c r="B21" s="106"/>
      <c r="C21" s="118" t="s">
        <v>131</v>
      </c>
      <c r="D21" s="119" t="b">
        <f t="shared" si="1"/>
        <v>0</v>
      </c>
      <c r="E21" s="119">
        <f t="shared" si="2"/>
        <v>0</v>
      </c>
      <c r="I21" s="122">
        <f t="shared" ref="I21:N21" si="8">I20-I18</f>
        <v>0</v>
      </c>
      <c r="J21" s="122">
        <f t="shared" si="8"/>
        <v>0</v>
      </c>
      <c r="K21" s="122">
        <f t="shared" si="8"/>
        <v>0</v>
      </c>
      <c r="L21" s="122">
        <f t="shared" si="8"/>
        <v>0</v>
      </c>
      <c r="M21" s="122">
        <f t="shared" si="8"/>
        <v>-9.9999999999995925E-5</v>
      </c>
      <c r="N21" s="122">
        <f t="shared" si="8"/>
        <v>0</v>
      </c>
      <c r="O21" s="119">
        <f>E5-O18</f>
        <v>-9.9999999999988987E-5</v>
      </c>
    </row>
    <row r="22" spans="1:26" ht="15.75" hidden="1" customHeight="1">
      <c r="A22" s="177"/>
      <c r="B22" s="106"/>
      <c r="C22" s="118"/>
      <c r="D22" s="119"/>
      <c r="E22" s="119"/>
    </row>
    <row r="23" spans="1:26" ht="15.75" hidden="1" customHeight="1">
      <c r="A23" s="177"/>
      <c r="B23" s="106"/>
    </row>
    <row r="24" spans="1:26" ht="15.75" hidden="1" customHeight="1">
      <c r="A24" s="177"/>
      <c r="B24" s="106"/>
    </row>
    <row r="25" spans="1:26" ht="15.75" hidden="1" customHeight="1">
      <c r="A25" s="177"/>
      <c r="B25" s="106"/>
    </row>
    <row r="26" spans="1:26" ht="15.75" customHeight="1">
      <c r="A26" s="177"/>
      <c r="B26" s="106"/>
    </row>
    <row r="27" spans="1:26" ht="15.75" customHeight="1">
      <c r="A27" s="177"/>
      <c r="B27" s="106"/>
    </row>
    <row r="28" spans="1:26" ht="15.75" customHeight="1">
      <c r="A28" s="177"/>
      <c r="B28" s="106"/>
    </row>
    <row r="29" spans="1:26" ht="18" customHeight="1">
      <c r="A29" s="177"/>
      <c r="B29" s="10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  <row r="30" spans="1:26" ht="15.75" customHeight="1">
      <c r="A30" s="177"/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</row>
    <row r="31" spans="1:26" ht="15.75" customHeight="1">
      <c r="A31" s="177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</row>
    <row r="32" spans="1:26" ht="15.75" customHeight="1">
      <c r="A32" s="177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</row>
    <row r="33" spans="1:26" ht="15.75" customHeight="1">
      <c r="A33" s="177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</sheetData>
  <sheetProtection algorithmName="SHA-512" hashValue="wtsdJAXk18mnEj/EMLKXeQ6PPX7D5eyXQTv94pRwXnX3sX0esqltZwhM+j+l2KDWLpcLglvy++uRXHoLcTGvMQ==" saltValue="89TKFsIg6e9D0sM4b8CoZw==" spinCount="100000" sheet="1" objects="1" scenarios="1" selectLockedCells="1"/>
  <mergeCells count="7">
    <mergeCell ref="I7:N7"/>
    <mergeCell ref="C1:L1"/>
    <mergeCell ref="M1:Q1"/>
    <mergeCell ref="C3:C4"/>
    <mergeCell ref="D3:D4"/>
    <mergeCell ref="E3:E4"/>
    <mergeCell ref="F3:K3"/>
  </mergeCells>
  <conditionalFormatting sqref="I21:N21">
    <cfRule type="expression" dxfId="3" priority="1">
      <formula>"SE+$G$19&lt;&gt;0"</formula>
    </cfRule>
  </conditionalFormatting>
  <conditionalFormatting sqref="I21:N21">
    <cfRule type="cellIs" dxfId="2" priority="2" operator="notEqual">
      <formula>0</formula>
    </cfRule>
  </conditionalFormatting>
  <conditionalFormatting sqref="I21:N21">
    <cfRule type="cellIs" dxfId="1" priority="3" operator="lessThan">
      <formula>0</formula>
    </cfRule>
  </conditionalFormatting>
  <conditionalFormatting sqref="I21:N21">
    <cfRule type="cellIs" dxfId="0" priority="4" operator="greaterThan">
      <formula>0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3:H39"/>
  <sheetViews>
    <sheetView topLeftCell="A8" workbookViewId="0">
      <selection activeCell="C13" sqref="C13"/>
    </sheetView>
  </sheetViews>
  <sheetFormatPr defaultRowHeight="15"/>
  <cols>
    <col min="1" max="1" width="9.140625" style="92"/>
    <col min="2" max="2" width="12.5703125" style="92" bestFit="1" customWidth="1"/>
    <col min="3" max="3" width="13.28515625" style="92" bestFit="1" customWidth="1"/>
    <col min="4" max="4" width="12.5703125" style="92" bestFit="1" customWidth="1"/>
    <col min="5" max="7" width="9.140625" style="92"/>
    <col min="8" max="8" width="30.7109375" style="92" customWidth="1"/>
    <col min="9" max="16384" width="9.140625" style="92"/>
  </cols>
  <sheetData>
    <row r="3" spans="1:3">
      <c r="A3" s="92" t="s">
        <v>70</v>
      </c>
    </row>
    <row r="4" spans="1:3">
      <c r="A4" s="92" t="s">
        <v>71</v>
      </c>
    </row>
    <row r="6" spans="1:3">
      <c r="A6" s="92" t="s">
        <v>72</v>
      </c>
    </row>
    <row r="7" spans="1:3">
      <c r="A7" s="92" t="s">
        <v>73</v>
      </c>
    </row>
    <row r="8" spans="1:3">
      <c r="A8" s="92" t="s">
        <v>74</v>
      </c>
    </row>
    <row r="9" spans="1:3">
      <c r="A9" s="92" t="s">
        <v>75</v>
      </c>
    </row>
    <row r="13" spans="1:3">
      <c r="B13" s="92" t="s">
        <v>87</v>
      </c>
      <c r="C13" s="93">
        <f>'Entrada de Dados'!H12</f>
        <v>15000</v>
      </c>
    </row>
    <row r="14" spans="1:3">
      <c r="B14" s="8" t="s">
        <v>81</v>
      </c>
      <c r="C14" s="39">
        <f>SUM(Resultados!G16:G20)</f>
        <v>0</v>
      </c>
    </row>
    <row r="15" spans="1:3">
      <c r="B15" s="8" t="s">
        <v>82</v>
      </c>
      <c r="C15" s="79">
        <f>C14/C13</f>
        <v>0</v>
      </c>
    </row>
    <row r="16" spans="1:3">
      <c r="B16" s="92" t="s">
        <v>108</v>
      </c>
      <c r="C16" s="92" t="str">
        <f>VLOOKUP(C13,B20:D39,3,1)</f>
        <v>0</v>
      </c>
    </row>
    <row r="17" spans="2:8">
      <c r="B17" s="92" t="s">
        <v>109</v>
      </c>
      <c r="C17" s="92" t="str">
        <f>VLOOKUP(C15,F20:H27,3,1)</f>
        <v>(r)&lt;0,10</v>
      </c>
    </row>
    <row r="19" spans="2:8" ht="15.75" thickBot="1"/>
    <row r="20" spans="2:8" ht="15.75" thickBot="1">
      <c r="B20" s="77">
        <v>0</v>
      </c>
      <c r="C20" s="78">
        <v>180000</v>
      </c>
      <c r="D20" s="94" t="s">
        <v>88</v>
      </c>
      <c r="F20" s="92">
        <v>0</v>
      </c>
      <c r="G20" s="92">
        <v>0.09</v>
      </c>
      <c r="H20" s="96" t="s">
        <v>60</v>
      </c>
    </row>
    <row r="21" spans="2:8" ht="15.75" thickBot="1">
      <c r="B21" s="75">
        <v>180000.01</v>
      </c>
      <c r="C21" s="76">
        <v>360000</v>
      </c>
      <c r="D21" s="95" t="s">
        <v>89</v>
      </c>
      <c r="F21" s="92">
        <v>0.1</v>
      </c>
      <c r="G21" s="92">
        <v>0.14000000000000001</v>
      </c>
      <c r="H21" s="96" t="s">
        <v>61</v>
      </c>
    </row>
    <row r="22" spans="2:8" ht="15.75" thickBot="1">
      <c r="B22" s="75">
        <v>360000.01</v>
      </c>
      <c r="C22" s="76">
        <v>540000</v>
      </c>
      <c r="D22" s="95" t="s">
        <v>90</v>
      </c>
      <c r="F22" s="92">
        <v>0.15</v>
      </c>
      <c r="G22" s="92">
        <v>0.19</v>
      </c>
      <c r="H22" s="96" t="s">
        <v>62</v>
      </c>
    </row>
    <row r="23" spans="2:8" ht="15.75" thickBot="1">
      <c r="B23" s="75">
        <v>540000.01</v>
      </c>
      <c r="C23" s="76">
        <v>720000</v>
      </c>
      <c r="D23" s="95" t="s">
        <v>91</v>
      </c>
      <c r="F23" s="92">
        <v>0.2</v>
      </c>
      <c r="G23" s="92">
        <v>0.24</v>
      </c>
      <c r="H23" s="96" t="s">
        <v>63</v>
      </c>
    </row>
    <row r="24" spans="2:8" ht="15.75" thickBot="1">
      <c r="B24" s="75">
        <v>720000.01</v>
      </c>
      <c r="C24" s="76">
        <v>900000</v>
      </c>
      <c r="D24" s="95" t="s">
        <v>92</v>
      </c>
      <c r="F24" s="92">
        <v>0.25</v>
      </c>
      <c r="G24" s="92">
        <v>0.28999999999999998</v>
      </c>
      <c r="H24" s="96" t="s">
        <v>64</v>
      </c>
    </row>
    <row r="25" spans="2:8" ht="15.75" thickBot="1">
      <c r="B25" s="75">
        <v>900000.01</v>
      </c>
      <c r="C25" s="76">
        <v>1080000</v>
      </c>
      <c r="D25" s="95" t="s">
        <v>93</v>
      </c>
      <c r="F25" s="92">
        <v>0.3</v>
      </c>
      <c r="G25" s="92">
        <v>0.34</v>
      </c>
      <c r="H25" s="96" t="s">
        <v>65</v>
      </c>
    </row>
    <row r="26" spans="2:8" ht="15.75" thickBot="1">
      <c r="B26" s="75">
        <v>1080000.01</v>
      </c>
      <c r="C26" s="76">
        <v>1260000</v>
      </c>
      <c r="D26" s="95" t="s">
        <v>94</v>
      </c>
      <c r="F26" s="92">
        <v>0.35</v>
      </c>
      <c r="G26" s="92">
        <v>0.39</v>
      </c>
      <c r="H26" s="96" t="s">
        <v>66</v>
      </c>
    </row>
    <row r="27" spans="2:8" ht="15.75" thickBot="1">
      <c r="B27" s="75">
        <v>1260000.01</v>
      </c>
      <c r="C27" s="76">
        <v>1440000</v>
      </c>
      <c r="D27" s="95" t="s">
        <v>95</v>
      </c>
      <c r="F27" s="92">
        <v>0.4</v>
      </c>
      <c r="H27" s="96" t="s">
        <v>67</v>
      </c>
    </row>
    <row r="28" spans="2:8" ht="15.75" thickBot="1">
      <c r="B28" s="75">
        <v>1440000.01</v>
      </c>
      <c r="C28" s="76">
        <v>1620000</v>
      </c>
      <c r="D28" s="95" t="s">
        <v>96</v>
      </c>
    </row>
    <row r="29" spans="2:8" ht="15.75" thickBot="1">
      <c r="B29" s="75">
        <v>1620000.01</v>
      </c>
      <c r="C29" s="76">
        <v>1800000</v>
      </c>
      <c r="D29" s="95" t="s">
        <v>97</v>
      </c>
    </row>
    <row r="30" spans="2:8" ht="15.75" thickBot="1">
      <c r="B30" s="75">
        <v>1800000.01</v>
      </c>
      <c r="C30" s="76">
        <v>1980000</v>
      </c>
      <c r="D30" s="95" t="s">
        <v>98</v>
      </c>
    </row>
    <row r="31" spans="2:8" ht="15.75" thickBot="1">
      <c r="B31" s="75">
        <v>1980000.01</v>
      </c>
      <c r="C31" s="76">
        <v>2160000</v>
      </c>
      <c r="D31" s="95" t="s">
        <v>99</v>
      </c>
    </row>
    <row r="32" spans="2:8" ht="15.75" thickBot="1">
      <c r="B32" s="75">
        <v>2160000.0099999998</v>
      </c>
      <c r="C32" s="76">
        <v>2340000</v>
      </c>
      <c r="D32" s="95" t="s">
        <v>100</v>
      </c>
    </row>
    <row r="33" spans="2:4" ht="15.75" thickBot="1">
      <c r="B33" s="75">
        <v>2340000.0099999998</v>
      </c>
      <c r="C33" s="76">
        <v>2520000</v>
      </c>
      <c r="D33" s="95" t="s">
        <v>101</v>
      </c>
    </row>
    <row r="34" spans="2:4" ht="15.75" thickBot="1">
      <c r="B34" s="75">
        <v>2520000.0099999998</v>
      </c>
      <c r="C34" s="76">
        <v>2700000</v>
      </c>
      <c r="D34" s="95" t="s">
        <v>102</v>
      </c>
    </row>
    <row r="35" spans="2:4" ht="15.75" thickBot="1">
      <c r="B35" s="75">
        <v>2700000.01</v>
      </c>
      <c r="C35" s="76">
        <v>2880000</v>
      </c>
      <c r="D35" s="95" t="s">
        <v>103</v>
      </c>
    </row>
    <row r="36" spans="2:4" ht="15.75" thickBot="1">
      <c r="B36" s="75">
        <v>2880000.01</v>
      </c>
      <c r="C36" s="76">
        <v>3060000</v>
      </c>
      <c r="D36" s="95" t="s">
        <v>104</v>
      </c>
    </row>
    <row r="37" spans="2:4" ht="15.75" thickBot="1">
      <c r="B37" s="75">
        <v>3060000.01</v>
      </c>
      <c r="C37" s="76">
        <v>3240000</v>
      </c>
      <c r="D37" s="95" t="s">
        <v>105</v>
      </c>
    </row>
    <row r="38" spans="2:4" ht="15.75" thickBot="1">
      <c r="B38" s="75">
        <v>3240000.01</v>
      </c>
      <c r="C38" s="76">
        <v>3420000</v>
      </c>
      <c r="D38" s="95" t="s">
        <v>106</v>
      </c>
    </row>
    <row r="39" spans="2:4" ht="15.75" thickBot="1">
      <c r="B39" s="75">
        <v>3420000.01</v>
      </c>
      <c r="C39" s="76">
        <v>3600000</v>
      </c>
      <c r="D39" s="95" t="s">
        <v>107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BY91"/>
  <sheetViews>
    <sheetView showGridLines="0" zoomScale="90" zoomScaleNormal="90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A4" sqref="A4"/>
    </sheetView>
  </sheetViews>
  <sheetFormatPr defaultRowHeight="15" customHeight="1"/>
  <cols>
    <col min="1" max="1" width="26.5703125" style="154" customWidth="1"/>
    <col min="2" max="2" width="1.85546875" style="1" customWidth="1"/>
    <col min="3" max="3" width="9.140625" style="8"/>
    <col min="4" max="4" width="24.28515625" style="8" bestFit="1" customWidth="1"/>
    <col min="5" max="5" width="27.5703125" style="8" customWidth="1"/>
    <col min="6" max="6" width="17.5703125" style="8" customWidth="1"/>
    <col min="7" max="7" width="22.85546875" style="8" customWidth="1"/>
    <col min="8" max="8" width="21.7109375" style="8" customWidth="1"/>
    <col min="9" max="9" width="3.7109375" style="8" customWidth="1"/>
    <col min="10" max="11" width="21.7109375" style="8" customWidth="1"/>
    <col min="12" max="74" width="9.140625" style="8"/>
    <col min="75" max="16384" width="9.140625" style="1"/>
  </cols>
  <sheetData>
    <row r="1" spans="1:77" ht="46.5" customHeight="1">
      <c r="A1" s="150"/>
      <c r="B1" s="6" t="s">
        <v>0</v>
      </c>
      <c r="C1" s="42" t="s">
        <v>49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77" s="7" customFormat="1" ht="23.1" customHeight="1">
      <c r="A2" s="158" t="s">
        <v>3</v>
      </c>
      <c r="B2" s="163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</row>
    <row r="3" spans="1:77" ht="9.9499999999999993" customHeight="1" thickBot="1">
      <c r="A3" s="160"/>
      <c r="B3" s="165"/>
    </row>
    <row r="4" spans="1:77" s="14" customFormat="1" ht="23.1" customHeight="1">
      <c r="A4" s="161" t="s">
        <v>4</v>
      </c>
      <c r="B4" s="167"/>
      <c r="C4" s="32"/>
      <c r="D4" s="32" t="s">
        <v>54</v>
      </c>
      <c r="E4" s="208" t="s">
        <v>113</v>
      </c>
      <c r="F4" s="209"/>
      <c r="G4" s="203" t="s">
        <v>136</v>
      </c>
      <c r="H4" s="204"/>
      <c r="I4" s="12"/>
      <c r="J4" s="203" t="s">
        <v>137</v>
      </c>
      <c r="K4" s="204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 ht="23.1" customHeight="1">
      <c r="A5" s="103" t="s">
        <v>5</v>
      </c>
      <c r="B5" s="169"/>
      <c r="C5" s="17"/>
      <c r="D5" s="32" t="s">
        <v>55</v>
      </c>
      <c r="E5" s="98" t="s">
        <v>114</v>
      </c>
      <c r="F5" s="97"/>
      <c r="G5" s="62" t="s">
        <v>6</v>
      </c>
      <c r="H5" s="100">
        <v>15000</v>
      </c>
      <c r="J5" s="62" t="s">
        <v>11</v>
      </c>
      <c r="K5" s="100"/>
      <c r="BW5" s="8"/>
      <c r="BX5" s="8"/>
      <c r="BY5" s="8"/>
    </row>
    <row r="6" spans="1:77" ht="21.95" customHeight="1">
      <c r="A6" s="162" t="s">
        <v>51</v>
      </c>
      <c r="B6" s="169"/>
      <c r="C6" s="17"/>
      <c r="D6" s="32" t="s">
        <v>68</v>
      </c>
      <c r="E6" s="98" t="s">
        <v>73</v>
      </c>
      <c r="F6" s="97"/>
      <c r="G6" s="62" t="s">
        <v>115</v>
      </c>
      <c r="H6" s="100"/>
      <c r="J6" s="62" t="s">
        <v>12</v>
      </c>
      <c r="K6" s="100">
        <v>0</v>
      </c>
      <c r="BW6" s="8"/>
      <c r="BX6" s="8"/>
      <c r="BY6" s="8"/>
    </row>
    <row r="7" spans="1:77" ht="21.95" customHeight="1">
      <c r="A7" s="162" t="s">
        <v>52</v>
      </c>
      <c r="B7" s="169"/>
      <c r="C7" s="17"/>
      <c r="D7" s="73" t="s">
        <v>69</v>
      </c>
      <c r="E7" s="98" t="s">
        <v>71</v>
      </c>
      <c r="F7" s="97"/>
      <c r="G7" s="62" t="s">
        <v>45</v>
      </c>
      <c r="H7" s="100"/>
      <c r="J7" s="62" t="s">
        <v>13</v>
      </c>
      <c r="K7" s="100">
        <v>0</v>
      </c>
      <c r="BW7" s="8"/>
      <c r="BX7" s="8"/>
      <c r="BY7" s="8"/>
    </row>
    <row r="8" spans="1:77" ht="21.95" customHeight="1">
      <c r="A8" s="162"/>
      <c r="B8" s="169"/>
      <c r="C8" s="17"/>
      <c r="D8" s="73" t="s">
        <v>76</v>
      </c>
      <c r="E8" s="99">
        <v>2.5000000000000001E-2</v>
      </c>
      <c r="F8" s="97"/>
      <c r="G8" s="62" t="s">
        <v>7</v>
      </c>
      <c r="H8" s="100"/>
      <c r="J8" s="62" t="s">
        <v>43</v>
      </c>
      <c r="K8" s="100">
        <v>0</v>
      </c>
      <c r="BW8" s="8"/>
      <c r="BX8" s="8"/>
      <c r="BY8" s="8"/>
    </row>
    <row r="9" spans="1:77" ht="21.95" customHeight="1">
      <c r="A9" s="162"/>
      <c r="B9" s="169"/>
      <c r="C9" s="17"/>
      <c r="D9" s="17"/>
      <c r="E9" s="17"/>
      <c r="F9" s="17"/>
      <c r="G9" s="62" t="s">
        <v>8</v>
      </c>
      <c r="H9" s="100"/>
      <c r="J9" s="62" t="s">
        <v>78</v>
      </c>
      <c r="K9" s="100">
        <v>0</v>
      </c>
      <c r="BW9" s="8"/>
      <c r="BX9" s="8"/>
      <c r="BY9" s="8"/>
    </row>
    <row r="10" spans="1:77" ht="21.95" customHeight="1">
      <c r="A10" s="162" t="s">
        <v>140</v>
      </c>
      <c r="B10" s="169"/>
      <c r="C10" s="17"/>
      <c r="D10" s="73" t="s">
        <v>86</v>
      </c>
      <c r="E10" s="98">
        <v>1</v>
      </c>
      <c r="F10" s="17"/>
      <c r="G10" s="62" t="s">
        <v>9</v>
      </c>
      <c r="H10" s="100"/>
      <c r="J10" s="62" t="s">
        <v>14</v>
      </c>
      <c r="K10" s="100">
        <v>0</v>
      </c>
      <c r="BW10" s="8"/>
      <c r="BX10" s="8"/>
      <c r="BY10" s="8"/>
    </row>
    <row r="11" spans="1:77" s="3" customFormat="1" ht="21.95" customHeight="1" thickBot="1">
      <c r="A11" s="162"/>
      <c r="B11" s="169"/>
      <c r="C11" s="17"/>
      <c r="D11" s="73" t="s">
        <v>85</v>
      </c>
      <c r="E11" s="74">
        <f>H5/E10</f>
        <v>15000</v>
      </c>
      <c r="F11" s="17"/>
      <c r="G11" s="147"/>
      <c r="H11" s="148"/>
      <c r="I11" s="8"/>
      <c r="J11" s="62" t="s">
        <v>46</v>
      </c>
      <c r="K11" s="100">
        <v>0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</row>
    <row r="12" spans="1:77" s="13" customFormat="1" ht="21.95" customHeight="1" thickBot="1">
      <c r="A12" s="152"/>
      <c r="B12" s="18"/>
      <c r="C12" s="32"/>
      <c r="D12" s="17"/>
      <c r="E12" s="17"/>
      <c r="F12" s="17"/>
      <c r="G12" s="49" t="s">
        <v>10</v>
      </c>
      <c r="H12" s="63">
        <f>SUM(H5:H11)</f>
        <v>15000</v>
      </c>
      <c r="I12" s="12"/>
      <c r="J12" s="62" t="s">
        <v>15</v>
      </c>
      <c r="K12" s="100">
        <f>600*12</f>
        <v>7200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</row>
    <row r="13" spans="1:77" ht="21.95" customHeight="1" thickBot="1">
      <c r="A13" s="152"/>
      <c r="B13" s="19"/>
      <c r="C13" s="17"/>
      <c r="D13" s="205" t="s">
        <v>77</v>
      </c>
      <c r="E13" s="206"/>
      <c r="F13" s="207"/>
      <c r="G13" s="12"/>
      <c r="H13" s="12"/>
      <c r="J13" s="49" t="s">
        <v>16</v>
      </c>
      <c r="K13" s="63">
        <f>SUM(K5:K12)</f>
        <v>7200</v>
      </c>
      <c r="BW13" s="8"/>
      <c r="BX13" s="8"/>
      <c r="BY13" s="8"/>
    </row>
    <row r="14" spans="1:77" ht="21.95" customHeight="1">
      <c r="A14" s="152"/>
      <c r="B14" s="19"/>
      <c r="C14" s="17"/>
      <c r="D14" s="83" t="s">
        <v>79</v>
      </c>
      <c r="E14" s="84" t="s">
        <v>80</v>
      </c>
      <c r="F14" s="85" t="s">
        <v>112</v>
      </c>
      <c r="J14" s="12"/>
      <c r="K14" s="12"/>
      <c r="BW14" s="8"/>
      <c r="BX14" s="8"/>
      <c r="BY14" s="8"/>
    </row>
    <row r="15" spans="1:77" ht="21.95" customHeight="1">
      <c r="A15" s="153"/>
      <c r="B15" s="19"/>
      <c r="C15" s="17"/>
      <c r="D15" s="62" t="s">
        <v>25</v>
      </c>
      <c r="E15" s="80">
        <f>Resultados!M21</f>
        <v>600</v>
      </c>
      <c r="F15" s="86">
        <f>Resultados!L21</f>
        <v>0.04</v>
      </c>
      <c r="G15" s="105"/>
      <c r="H15" s="105"/>
      <c r="BW15" s="8"/>
      <c r="BX15" s="8"/>
      <c r="BY15" s="8"/>
    </row>
    <row r="16" spans="1:77" ht="21.95" customHeight="1">
      <c r="A16" s="153"/>
      <c r="B16" s="19"/>
      <c r="D16" s="62" t="s">
        <v>23</v>
      </c>
      <c r="E16" s="80">
        <f>Resultados!G21</f>
        <v>3589.5</v>
      </c>
      <c r="F16" s="86">
        <f>Resultados!F21</f>
        <v>0.23930000000000001</v>
      </c>
      <c r="H16" s="79"/>
      <c r="BW16" s="8"/>
      <c r="BX16" s="8"/>
    </row>
    <row r="17" spans="1:76" ht="21.95" customHeight="1" thickBot="1">
      <c r="A17" s="153"/>
      <c r="B17" s="19"/>
      <c r="D17" s="81" t="s">
        <v>24</v>
      </c>
      <c r="E17" s="82">
        <f>Resultados!J21</f>
        <v>4978.5</v>
      </c>
      <c r="F17" s="87">
        <f>Resultados!I21</f>
        <v>0.33189999999999997</v>
      </c>
      <c r="H17" s="79"/>
      <c r="BW17" s="8"/>
      <c r="BX17" s="8"/>
    </row>
    <row r="18" spans="1:76" ht="21.95" customHeight="1">
      <c r="A18" s="153"/>
      <c r="B18" s="19"/>
      <c r="F18" s="12"/>
      <c r="H18" s="79"/>
      <c r="BW18" s="8"/>
      <c r="BX18" s="8"/>
    </row>
    <row r="19" spans="1:76" ht="21.95" customHeight="1">
      <c r="A19" s="153"/>
      <c r="B19" s="19"/>
      <c r="F19" s="12"/>
      <c r="H19" s="79"/>
      <c r="BW19" s="8"/>
      <c r="BX19" s="8"/>
    </row>
    <row r="20" spans="1:76" s="3" customFormat="1" ht="21.95" customHeight="1" thickBot="1">
      <c r="A20" s="153"/>
      <c r="B20" s="19"/>
      <c r="C20" s="8"/>
      <c r="D20" s="12"/>
      <c r="E20" s="12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</row>
    <row r="21" spans="1:76" s="15" customFormat="1" ht="21.95" customHeight="1">
      <c r="A21" s="153"/>
      <c r="B21" s="18"/>
      <c r="C21" s="12"/>
      <c r="D21" s="12"/>
      <c r="E21" s="12"/>
      <c r="F21" s="8"/>
      <c r="G21" s="8"/>
      <c r="H21" s="8"/>
      <c r="I21" s="12"/>
      <c r="J21" s="8"/>
      <c r="K21" s="8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</row>
    <row r="22" spans="1:76" s="16" customFormat="1" ht="21.95" customHeight="1">
      <c r="A22" s="153"/>
      <c r="B22" s="18"/>
      <c r="C22" s="12"/>
      <c r="D22" s="8"/>
      <c r="E22" s="8"/>
      <c r="F22" s="8"/>
      <c r="G22" s="8"/>
      <c r="H22" s="8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</row>
    <row r="23" spans="1:76" ht="21.95" customHeight="1">
      <c r="A23" s="153"/>
      <c r="B23" s="19"/>
      <c r="G23" s="12"/>
      <c r="H23" s="12"/>
      <c r="J23" s="12"/>
      <c r="K23" s="12"/>
    </row>
    <row r="24" spans="1:76" ht="21.95" customHeight="1">
      <c r="A24" s="153"/>
      <c r="B24" s="19"/>
      <c r="G24" s="12"/>
      <c r="H24" s="12"/>
    </row>
    <row r="25" spans="1:76" ht="21.95" customHeight="1">
      <c r="A25" s="153"/>
      <c r="B25" s="19"/>
    </row>
    <row r="26" spans="1:76" ht="21.95" customHeight="1">
      <c r="A26" s="153"/>
      <c r="B26" s="19"/>
    </row>
    <row r="27" spans="1:76" ht="21.95" customHeight="1">
      <c r="A27" s="153"/>
      <c r="B27" s="19"/>
    </row>
    <row r="28" spans="1:76" ht="21.95" customHeight="1">
      <c r="A28" s="153"/>
      <c r="B28" s="19"/>
    </row>
    <row r="29" spans="1:76" ht="21.95" customHeight="1">
      <c r="A29" s="153"/>
      <c r="B29" s="19"/>
    </row>
    <row r="30" spans="1:76" ht="21.95" customHeight="1">
      <c r="A30" s="153"/>
      <c r="B30" s="19"/>
    </row>
    <row r="31" spans="1:76" ht="21.95" customHeight="1">
      <c r="B31" s="19"/>
    </row>
    <row r="32" spans="1:76" ht="21.95" customHeight="1">
      <c r="B32" s="19"/>
    </row>
    <row r="33" spans="1:74" ht="21.95" customHeight="1">
      <c r="B33" s="19"/>
      <c r="F33" s="12"/>
    </row>
    <row r="34" spans="1:74" ht="21.95" customHeight="1">
      <c r="B34" s="19"/>
    </row>
    <row r="35" spans="1:74" s="3" customFormat="1" ht="21.95" customHeight="1" thickBot="1">
      <c r="A35" s="154"/>
      <c r="B35" s="19"/>
      <c r="C35" s="8"/>
      <c r="D35" s="12"/>
      <c r="E35" s="12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</row>
    <row r="36" spans="1:74" s="11" customFormat="1" ht="21.95" customHeight="1">
      <c r="A36" s="154"/>
      <c r="B36" s="18"/>
      <c r="C36" s="12"/>
      <c r="D36" s="8"/>
      <c r="E36" s="8"/>
      <c r="F36" s="8"/>
      <c r="G36" s="8"/>
      <c r="H36" s="8"/>
      <c r="I36" s="12"/>
      <c r="J36" s="8"/>
      <c r="K36" s="8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</row>
    <row r="37" spans="1:74" ht="21.95" customHeight="1">
      <c r="B37" s="19"/>
      <c r="J37" s="12"/>
      <c r="K37" s="12"/>
    </row>
    <row r="38" spans="1:74" ht="21.95" customHeight="1">
      <c r="B38" s="19"/>
      <c r="G38" s="12"/>
      <c r="H38" s="12"/>
    </row>
    <row r="39" spans="1:74" ht="21.95" customHeight="1">
      <c r="B39" s="19"/>
    </row>
    <row r="40" spans="1:74" ht="21.95" customHeight="1">
      <c r="B40" s="19"/>
    </row>
    <row r="41" spans="1:74" ht="21.95" customHeight="1">
      <c r="B41" s="19"/>
    </row>
    <row r="42" spans="1:74" ht="21.95" customHeight="1">
      <c r="B42" s="19"/>
    </row>
    <row r="43" spans="1:74" ht="21.95" customHeight="1">
      <c r="B43" s="19"/>
    </row>
    <row r="44" spans="1:74" ht="21.95" customHeight="1">
      <c r="B44" s="19"/>
    </row>
    <row r="45" spans="1:74" ht="21.95" customHeight="1">
      <c r="B45" s="19"/>
    </row>
    <row r="46" spans="1:74" ht="21.95" customHeight="1">
      <c r="B46" s="19"/>
    </row>
    <row r="47" spans="1:74" ht="21.95" customHeight="1">
      <c r="B47" s="19"/>
    </row>
    <row r="48" spans="1:74" ht="21.95" customHeight="1">
      <c r="B48" s="19"/>
    </row>
    <row r="49" spans="1:74" ht="21.95" customHeight="1">
      <c r="B49" s="19"/>
    </row>
    <row r="50" spans="1:74" ht="21.95" customHeight="1">
      <c r="B50" s="19"/>
    </row>
    <row r="51" spans="1:74" ht="21.95" customHeight="1">
      <c r="B51" s="19"/>
    </row>
    <row r="52" spans="1:74" ht="21.95" customHeight="1">
      <c r="B52" s="19"/>
    </row>
    <row r="53" spans="1:74" ht="21.95" customHeight="1">
      <c r="B53" s="19"/>
    </row>
    <row r="54" spans="1:74" s="3" customFormat="1" ht="21.95" customHeight="1" thickBot="1">
      <c r="A54" s="154"/>
      <c r="B54" s="19"/>
      <c r="C54" s="8"/>
      <c r="D54" s="8"/>
      <c r="E54" s="8"/>
      <c r="F54" s="12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</row>
    <row r="55" spans="1:74" s="8" customFormat="1" ht="21.95" customHeight="1">
      <c r="A55" s="154"/>
      <c r="B55" s="17"/>
    </row>
    <row r="56" spans="1:74" s="8" customFormat="1" ht="21.95" customHeight="1">
      <c r="A56" s="154"/>
      <c r="B56" s="17"/>
      <c r="D56" s="12"/>
      <c r="E56" s="12"/>
    </row>
    <row r="57" spans="1:74" s="33" customFormat="1" ht="21.95" customHeight="1">
      <c r="A57" s="154"/>
      <c r="B57" s="11"/>
      <c r="C57" s="12"/>
      <c r="D57" s="8"/>
      <c r="E57" s="8"/>
      <c r="F57" s="8"/>
      <c r="G57" s="8"/>
      <c r="H57" s="8"/>
      <c r="I57" s="12"/>
      <c r="J57" s="8"/>
      <c r="K57" s="8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</row>
    <row r="58" spans="1:74" s="34" customFormat="1" ht="21.95" customHeight="1">
      <c r="A58" s="154"/>
      <c r="B58" s="6"/>
      <c r="C58" s="8"/>
      <c r="D58" s="8"/>
      <c r="E58" s="8"/>
      <c r="F58" s="8"/>
      <c r="G58" s="8"/>
      <c r="H58" s="8"/>
      <c r="I58" s="8"/>
      <c r="J58" s="12"/>
      <c r="K58" s="12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</row>
    <row r="59" spans="1:74" s="34" customFormat="1" ht="21.95" customHeight="1">
      <c r="A59" s="154"/>
      <c r="B59" s="6"/>
      <c r="C59" s="8"/>
      <c r="D59" s="8"/>
      <c r="E59" s="8"/>
      <c r="F59" s="8"/>
      <c r="G59" s="12"/>
      <c r="H59" s="12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</row>
    <row r="60" spans="1:74" s="34" customFormat="1" ht="21.95" customHeight="1">
      <c r="A60" s="154"/>
      <c r="B60" s="6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</row>
    <row r="61" spans="1:74" s="34" customFormat="1" ht="21.95" customHeight="1">
      <c r="A61" s="154"/>
      <c r="B61" s="6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</row>
    <row r="62" spans="1:74" s="34" customFormat="1" ht="21.95" customHeight="1">
      <c r="A62" s="154"/>
      <c r="B62" s="1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</row>
    <row r="63" spans="1:74" s="34" customFormat="1" ht="21.95" customHeight="1">
      <c r="A63" s="154"/>
      <c r="B63" s="1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</row>
    <row r="64" spans="1:74" s="34" customFormat="1" ht="21.95" customHeight="1">
      <c r="A64" s="154"/>
      <c r="B64" s="1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</row>
    <row r="65" spans="1:74" s="34" customFormat="1" ht="21.95" customHeight="1">
      <c r="A65" s="154"/>
      <c r="B65" s="6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</row>
    <row r="66" spans="1:74" s="34" customFormat="1" ht="21.95" customHeight="1">
      <c r="A66" s="154"/>
      <c r="B66" s="1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</row>
    <row r="67" spans="1:74" ht="21.95" customHeight="1">
      <c r="F67" s="20"/>
    </row>
    <row r="68" spans="1:74" ht="21.95" customHeight="1">
      <c r="F68" s="10"/>
    </row>
    <row r="69" spans="1:74" ht="21.95" customHeight="1">
      <c r="D69" s="20"/>
      <c r="E69" s="20"/>
    </row>
    <row r="70" spans="1:74" s="21" customFormat="1" ht="21.95" customHeight="1">
      <c r="A70" s="154"/>
      <c r="C70" s="20"/>
      <c r="D70" s="10"/>
      <c r="E70" s="10"/>
      <c r="F70" s="8"/>
      <c r="G70" s="8"/>
      <c r="H70" s="8"/>
      <c r="I70" s="20"/>
      <c r="J70" s="8"/>
      <c r="K70" s="8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</row>
    <row r="71" spans="1:74" s="5" customFormat="1" ht="21.95" customHeight="1">
      <c r="A71" s="154"/>
      <c r="C71" s="10"/>
      <c r="D71" s="8"/>
      <c r="E71" s="8"/>
      <c r="F71" s="8"/>
      <c r="G71" s="8"/>
      <c r="H71" s="8"/>
      <c r="I71" s="10"/>
      <c r="J71" s="20"/>
      <c r="K71" s="2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</row>
    <row r="72" spans="1:74" ht="21.95" customHeight="1">
      <c r="G72" s="20"/>
      <c r="H72" s="20"/>
      <c r="J72" s="10"/>
      <c r="K72" s="10"/>
    </row>
    <row r="73" spans="1:74" ht="21.95" customHeight="1">
      <c r="G73" s="10"/>
      <c r="H73" s="10"/>
    </row>
    <row r="74" spans="1:74" ht="21.95" customHeight="1"/>
    <row r="75" spans="1:74" ht="21.95" customHeight="1"/>
    <row r="76" spans="1:74" ht="21.95" customHeight="1"/>
    <row r="77" spans="1:74" ht="21.95" customHeight="1"/>
    <row r="78" spans="1:74" ht="21.95" customHeight="1"/>
    <row r="79" spans="1:74" ht="21.95" customHeight="1"/>
    <row r="80" spans="1:74" ht="21.95" customHeight="1"/>
    <row r="81" ht="21.95" customHeight="1"/>
    <row r="82" ht="21.95" customHeight="1"/>
    <row r="83" ht="21.95" customHeight="1"/>
    <row r="84" ht="21.95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</sheetData>
  <sheetProtection algorithmName="SHA-512" hashValue="JRYWzYeaMfcRmQvskN6bAXP8b8jqZOTZD+Xdnj/gqWOdQV+CgZSFfVMu4N2gcpsqcy4sAPYRZhfET4GxSB/k/A==" saltValue="Dl3sSgw5GGLXgHQ37Qd66g==" spinCount="100000" sheet="1" objects="1" scenarios="1" selectLockedCells="1"/>
  <mergeCells count="4">
    <mergeCell ref="G4:H4"/>
    <mergeCell ref="J4:K4"/>
    <mergeCell ref="D13:F13"/>
    <mergeCell ref="E4:F4"/>
  </mergeCells>
  <phoneticPr fontId="4" type="noConversion"/>
  <conditionalFormatting sqref="F15:F1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:E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6" location="'Aliquota de Impostos'!A1" display="  2. Aliquota de Imposto"/>
    <hyperlink ref="A7" location="Resultados!A1" display="  3. Resultados"/>
    <hyperlink ref="A5" location="'Entrada de Dados'!A1" display="  1. Entrada de Dados"/>
    <hyperlink ref="A10" location="'Sobre a Capital Social'!A1" display="  Sobre a Capital Social"/>
    <hyperlink ref="A4" location="Inicio!A1" display="Início"/>
  </hyperlinks>
  <pageMargins left="0.74803149606299213" right="0.74803149606299213" top="0.98425196850393704" bottom="0.98425196850393704" header="0.51181102362204722" footer="0.51181102362204722"/>
  <pageSetup paperSize="9" scale="64" orientation="landscape" verticalDpi="0" r:id="rId1"/>
  <headerFooter>
    <oddFooter>&amp;C&amp;"Arial,Negrito"&amp;11Obs: &amp;"Arial,Normal"As informações servem para orientação geral, e não significam aconselhamento. Cálculos simplificados estão sujeitas a erros/imprecisões. Não nos responsabilizamos pelo uso das informações. Consulte seu contador.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5:DS13"/>
  <sheetViews>
    <sheetView workbookViewId="0">
      <selection activeCell="C13" sqref="C13"/>
    </sheetView>
  </sheetViews>
  <sheetFormatPr defaultColWidth="11.42578125" defaultRowHeight="12.75"/>
  <cols>
    <col min="1" max="12" width="16.85546875" customWidth="1"/>
    <col min="13" max="13" width="7" customWidth="1"/>
    <col min="14" max="15" width="16.140625" customWidth="1"/>
  </cols>
  <sheetData>
    <row r="5" spans="1:123">
      <c r="A5" t="s">
        <v>1</v>
      </c>
      <c r="B5" s="4" t="e">
        <f>'Aliquota de Impostos'!#REF!</f>
        <v>#REF!</v>
      </c>
      <c r="C5" s="4" t="e">
        <f>'Aliquota de Impostos'!#REF!</f>
        <v>#REF!</v>
      </c>
      <c r="D5" s="4" t="e">
        <f>'Aliquota de Impostos'!#REF!</f>
        <v>#REF!</v>
      </c>
      <c r="E5" s="4" t="e">
        <f>'Aliquota de Impostos'!#REF!</f>
        <v>#REF!</v>
      </c>
      <c r="F5" s="4" t="e">
        <f>'Aliquota de Impostos'!#REF!</f>
        <v>#REF!</v>
      </c>
      <c r="G5" s="4" t="e">
        <f>'Aliquota de Impostos'!#REF!</f>
        <v>#REF!</v>
      </c>
      <c r="H5" s="4" t="e">
        <f>'Aliquota de Impostos'!#REF!</f>
        <v>#REF!</v>
      </c>
      <c r="I5" s="4" t="e">
        <f>'Aliquota de Impostos'!#REF!</f>
        <v>#REF!</v>
      </c>
      <c r="J5" s="4" t="e">
        <f>'Aliquota de Impostos'!#REF!</f>
        <v>#REF!</v>
      </c>
      <c r="K5" s="4" t="e">
        <f>'Aliquota de Impostos'!#REF!</f>
        <v>#REF!</v>
      </c>
      <c r="L5" s="4" t="e">
        <f>'Aliquota de Impostos'!#REF!</f>
        <v>#REF!</v>
      </c>
      <c r="N5" s="4" t="e">
        <f>L5/#REF!</f>
        <v>#REF!</v>
      </c>
    </row>
    <row r="8" spans="1:123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13" spans="1:123">
      <c r="A13" t="s">
        <v>2</v>
      </c>
      <c r="B13" s="4" t="e">
        <f>'Aliquota de Impostos'!#REF!</f>
        <v>#REF!</v>
      </c>
      <c r="C13" s="4" t="e">
        <f>'Entrada de Dados'!#REF!</f>
        <v>#REF!</v>
      </c>
      <c r="D13" s="4" t="e">
        <f>'Entrada de Dados'!#REF!</f>
        <v>#REF!</v>
      </c>
      <c r="E13" s="4" t="e">
        <f>'Entrada de Dados'!#REF!</f>
        <v>#REF!</v>
      </c>
      <c r="F13" s="4" t="e">
        <f>'Entrada de Dados'!#REF!</f>
        <v>#REF!</v>
      </c>
      <c r="G13" s="4" t="e">
        <f>'Entrada de Dados'!#REF!</f>
        <v>#REF!</v>
      </c>
      <c r="H13" s="4" t="e">
        <f>'Entrada de Dados'!#REF!</f>
        <v>#REF!</v>
      </c>
      <c r="I13" s="4" t="e">
        <f>'Entrada de Dados'!#REF!</f>
        <v>#REF!</v>
      </c>
      <c r="J13" s="4" t="e">
        <f>'Entrada de Dados'!#REF!</f>
        <v>#REF!</v>
      </c>
      <c r="K13" s="4" t="e">
        <f>'Entrada de Dados'!#REF!</f>
        <v>#REF!</v>
      </c>
      <c r="L13" s="4" t="e">
        <f>'Entrada de Dados'!#REF!</f>
        <v>#REF!</v>
      </c>
      <c r="M13" s="4" t="e">
        <f>'Entrada de Dados'!#REF!</f>
        <v>#REF!</v>
      </c>
      <c r="N13" s="4" t="e">
        <f>'Entrada de Dados'!#REF!</f>
        <v>#REF!</v>
      </c>
      <c r="O13" s="4" t="e">
        <f>'Entrada de Dados'!#REF!</f>
        <v>#REF!</v>
      </c>
      <c r="P13" s="4" t="e">
        <f>'Entrada de Dados'!#REF!</f>
        <v>#REF!</v>
      </c>
      <c r="Q13" s="4" t="e">
        <f>'Entrada de Dados'!#REF!</f>
        <v>#REF!</v>
      </c>
      <c r="R13" s="4" t="e">
        <f>'Entrada de Dados'!#REF!</f>
        <v>#REF!</v>
      </c>
      <c r="S13" s="4" t="e">
        <f>'Entrada de Dados'!#REF!</f>
        <v>#REF!</v>
      </c>
      <c r="T13" s="4" t="e">
        <f>'Entrada de Dados'!#REF!</f>
        <v>#REF!</v>
      </c>
      <c r="U13" s="4" t="e">
        <f>'Entrada de Dados'!#REF!</f>
        <v>#REF!</v>
      </c>
      <c r="V13" s="4" t="e">
        <f>'Entrada de Dados'!#REF!</f>
        <v>#REF!</v>
      </c>
      <c r="W13" s="4" t="e">
        <f>'Entrada de Dados'!#REF!</f>
        <v>#REF!</v>
      </c>
      <c r="X13" s="4" t="e">
        <f>'Entrada de Dados'!#REF!</f>
        <v>#REF!</v>
      </c>
      <c r="Y13" s="4" t="e">
        <f>'Entrada de Dados'!#REF!</f>
        <v>#REF!</v>
      </c>
      <c r="Z13" s="4" t="e">
        <f>'Entrada de Dados'!#REF!</f>
        <v>#REF!</v>
      </c>
      <c r="AA13" s="4" t="e">
        <f>'Entrada de Dados'!#REF!</f>
        <v>#REF!</v>
      </c>
      <c r="AB13" s="4" t="e">
        <f>'Entrada de Dados'!#REF!</f>
        <v>#REF!</v>
      </c>
      <c r="AC13" s="4" t="e">
        <f>'Entrada de Dados'!#REF!</f>
        <v>#REF!</v>
      </c>
      <c r="AD13" s="4" t="e">
        <f>'Entrada de Dados'!#REF!</f>
        <v>#REF!</v>
      </c>
      <c r="AE13" s="4" t="e">
        <f>'Entrada de Dados'!#REF!</f>
        <v>#REF!</v>
      </c>
      <c r="AF13" s="4" t="e">
        <f>'Entrada de Dados'!#REF!</f>
        <v>#REF!</v>
      </c>
      <c r="AG13" s="4" t="e">
        <f>'Entrada de Dados'!#REF!</f>
        <v>#REF!</v>
      </c>
      <c r="AH13" s="4" t="e">
        <f>'Entrada de Dados'!#REF!</f>
        <v>#REF!</v>
      </c>
      <c r="AI13" s="4" t="e">
        <f>'Entrada de Dados'!#REF!</f>
        <v>#REF!</v>
      </c>
      <c r="AJ13" s="4" t="e">
        <f>'Entrada de Dados'!#REF!</f>
        <v>#REF!</v>
      </c>
      <c r="AK13" s="4" t="e">
        <f>'Entrada de Dados'!#REF!</f>
        <v>#REF!</v>
      </c>
      <c r="AL13" s="4" t="e">
        <f>'Entrada de Dados'!#REF!</f>
        <v>#REF!</v>
      </c>
      <c r="AM13" s="4" t="e">
        <f>'Entrada de Dados'!#REF!</f>
        <v>#REF!</v>
      </c>
      <c r="AN13" s="4" t="e">
        <f>'Entrada de Dados'!#REF!</f>
        <v>#REF!</v>
      </c>
      <c r="AO13" s="4" t="e">
        <f>'Entrada de Dados'!#REF!</f>
        <v>#REF!</v>
      </c>
      <c r="AP13" s="4" t="e">
        <f>'Entrada de Dados'!#REF!</f>
        <v>#REF!</v>
      </c>
      <c r="AQ13" s="4" t="e">
        <f>'Entrada de Dados'!#REF!</f>
        <v>#REF!</v>
      </c>
      <c r="AR13" s="4" t="e">
        <f>'Entrada de Dados'!#REF!</f>
        <v>#REF!</v>
      </c>
      <c r="AS13" s="4" t="e">
        <f>'Entrada de Dados'!#REF!</f>
        <v>#REF!</v>
      </c>
      <c r="AT13" s="4" t="e">
        <f>'Entrada de Dados'!#REF!</f>
        <v>#REF!</v>
      </c>
      <c r="AU13" s="4" t="e">
        <f>'Entrada de Dados'!#REF!</f>
        <v>#REF!</v>
      </c>
      <c r="AV13" s="4" t="e">
        <f>'Entrada de Dados'!#REF!</f>
        <v>#REF!</v>
      </c>
      <c r="AW13" s="4" t="e">
        <f>'Entrada de Dados'!#REF!</f>
        <v>#REF!</v>
      </c>
      <c r="AX13" s="4" t="e">
        <f>'Entrada de Dados'!#REF!</f>
        <v>#REF!</v>
      </c>
      <c r="AY13" s="4" t="e">
        <f>'Entrada de Dados'!#REF!</f>
        <v>#REF!</v>
      </c>
      <c r="AZ13" s="4" t="e">
        <f>'Entrada de Dados'!#REF!</f>
        <v>#REF!</v>
      </c>
      <c r="BA13" s="4" t="e">
        <f>'Entrada de Dados'!#REF!</f>
        <v>#REF!</v>
      </c>
      <c r="BB13" s="4" t="e">
        <f>'Entrada de Dados'!#REF!</f>
        <v>#REF!</v>
      </c>
      <c r="BC13" s="4" t="e">
        <f>'Entrada de Dados'!#REF!</f>
        <v>#REF!</v>
      </c>
      <c r="BD13" s="4" t="e">
        <f>'Entrada de Dados'!#REF!</f>
        <v>#REF!</v>
      </c>
      <c r="BE13" s="4" t="e">
        <f>'Entrada de Dados'!#REF!</f>
        <v>#REF!</v>
      </c>
      <c r="BF13" s="4" t="e">
        <f>'Entrada de Dados'!#REF!</f>
        <v>#REF!</v>
      </c>
      <c r="BG13" s="4" t="e">
        <f>'Entrada de Dados'!#REF!</f>
        <v>#REF!</v>
      </c>
      <c r="BH13" s="4" t="e">
        <f>'Entrada de Dados'!#REF!</f>
        <v>#REF!</v>
      </c>
      <c r="BI13" s="4" t="e">
        <f>'Entrada de Dados'!#REF!</f>
        <v>#REF!</v>
      </c>
      <c r="BJ13" s="4" t="e">
        <f>'Entrada de Dados'!#REF!</f>
        <v>#REF!</v>
      </c>
      <c r="BK13" s="4" t="e">
        <f>'Entrada de Dados'!#REF!</f>
        <v>#REF!</v>
      </c>
      <c r="BL13" s="4" t="e">
        <f>'Entrada de Dados'!#REF!</f>
        <v>#REF!</v>
      </c>
      <c r="BM13" s="4" t="e">
        <f>'Entrada de Dados'!#REF!</f>
        <v>#REF!</v>
      </c>
      <c r="BN13" s="4" t="e">
        <f>'Entrada de Dados'!#REF!</f>
        <v>#REF!</v>
      </c>
      <c r="BO13" s="4" t="e">
        <f>'Entrada de Dados'!#REF!</f>
        <v>#REF!</v>
      </c>
      <c r="BP13" s="4" t="e">
        <f>'Entrada de Dados'!#REF!</f>
        <v>#REF!</v>
      </c>
      <c r="BQ13" s="4" t="e">
        <f>'Entrada de Dados'!#REF!</f>
        <v>#REF!</v>
      </c>
      <c r="BR13" s="4" t="e">
        <f>'Entrada de Dados'!#REF!</f>
        <v>#REF!</v>
      </c>
      <c r="BS13" s="4" t="e">
        <f>'Entrada de Dados'!#REF!</f>
        <v>#REF!</v>
      </c>
      <c r="BT13" s="4" t="e">
        <f>'Entrada de Dados'!#REF!</f>
        <v>#REF!</v>
      </c>
      <c r="BU13" s="4" t="e">
        <f>'Entrada de Dados'!#REF!</f>
        <v>#REF!</v>
      </c>
      <c r="BV13" s="4" t="e">
        <f>'Entrada de Dados'!#REF!</f>
        <v>#REF!</v>
      </c>
      <c r="BW13" s="4" t="e">
        <f>'Entrada de Dados'!#REF!</f>
        <v>#REF!</v>
      </c>
      <c r="BX13" s="4" t="e">
        <f>'Entrada de Dados'!#REF!</f>
        <v>#REF!</v>
      </c>
      <c r="BY13" s="4" t="e">
        <f>'Entrada de Dados'!#REF!</f>
        <v>#REF!</v>
      </c>
      <c r="BZ13" s="4" t="e">
        <f>'Entrada de Dados'!#REF!</f>
        <v>#REF!</v>
      </c>
      <c r="CA13" s="4" t="e">
        <f>'Entrada de Dados'!#REF!</f>
        <v>#REF!</v>
      </c>
      <c r="CB13" s="4" t="e">
        <f>'Entrada de Dados'!#REF!</f>
        <v>#REF!</v>
      </c>
      <c r="CC13" s="4" t="e">
        <f>'Entrada de Dados'!#REF!</f>
        <v>#REF!</v>
      </c>
      <c r="CD13" s="4" t="e">
        <f>'Entrada de Dados'!#REF!</f>
        <v>#REF!</v>
      </c>
      <c r="CE13" s="4" t="e">
        <f>'Entrada de Dados'!#REF!</f>
        <v>#REF!</v>
      </c>
      <c r="CF13" s="4" t="e">
        <f>'Entrada de Dados'!#REF!</f>
        <v>#REF!</v>
      </c>
      <c r="CG13" s="4" t="e">
        <f>'Entrada de Dados'!#REF!</f>
        <v>#REF!</v>
      </c>
      <c r="CH13" s="4" t="e">
        <f>'Entrada de Dados'!#REF!</f>
        <v>#REF!</v>
      </c>
      <c r="CI13" s="4" t="e">
        <f>'Entrada de Dados'!#REF!</f>
        <v>#REF!</v>
      </c>
      <c r="CJ13" s="4" t="e">
        <f>'Entrada de Dados'!#REF!</f>
        <v>#REF!</v>
      </c>
      <c r="CK13" s="4" t="e">
        <f>'Entrada de Dados'!#REF!</f>
        <v>#REF!</v>
      </c>
      <c r="CL13" s="4" t="e">
        <f>'Entrada de Dados'!#REF!</f>
        <v>#REF!</v>
      </c>
      <c r="CM13" s="4" t="e">
        <f>'Entrada de Dados'!#REF!</f>
        <v>#REF!</v>
      </c>
      <c r="CN13" s="4" t="e">
        <f>'Entrada de Dados'!#REF!</f>
        <v>#REF!</v>
      </c>
      <c r="CO13" s="4" t="e">
        <f>'Entrada de Dados'!#REF!</f>
        <v>#REF!</v>
      </c>
      <c r="CP13" s="4" t="e">
        <f>'Entrada de Dados'!#REF!</f>
        <v>#REF!</v>
      </c>
      <c r="CQ13" s="4" t="e">
        <f>'Entrada de Dados'!#REF!</f>
        <v>#REF!</v>
      </c>
      <c r="CR13" s="4" t="e">
        <f>'Entrada de Dados'!#REF!</f>
        <v>#REF!</v>
      </c>
      <c r="CS13" s="4" t="e">
        <f>'Entrada de Dados'!#REF!</f>
        <v>#REF!</v>
      </c>
      <c r="CT13" s="4" t="e">
        <f>'Entrada de Dados'!#REF!</f>
        <v>#REF!</v>
      </c>
      <c r="CU13" s="4" t="e">
        <f>'Entrada de Dados'!#REF!</f>
        <v>#REF!</v>
      </c>
      <c r="CV13" s="4" t="e">
        <f>'Entrada de Dados'!#REF!</f>
        <v>#REF!</v>
      </c>
      <c r="CW13" s="4" t="e">
        <f>'Entrada de Dados'!#REF!</f>
        <v>#REF!</v>
      </c>
      <c r="CX13" s="4" t="e">
        <f>'Entrada de Dados'!#REF!</f>
        <v>#REF!</v>
      </c>
      <c r="CY13" s="4" t="e">
        <f>'Entrada de Dados'!#REF!</f>
        <v>#REF!</v>
      </c>
      <c r="CZ13" s="4" t="e">
        <f>'Entrada de Dados'!#REF!</f>
        <v>#REF!</v>
      </c>
      <c r="DA13" s="4" t="e">
        <f>'Entrada de Dados'!#REF!</f>
        <v>#REF!</v>
      </c>
      <c r="DB13" s="4" t="e">
        <f>'Entrada de Dados'!#REF!</f>
        <v>#REF!</v>
      </c>
      <c r="DC13" s="4" t="e">
        <f>'Entrada de Dados'!#REF!</f>
        <v>#REF!</v>
      </c>
      <c r="DD13" s="4" t="e">
        <f>'Entrada de Dados'!#REF!</f>
        <v>#REF!</v>
      </c>
      <c r="DE13" s="4" t="e">
        <f>'Entrada de Dados'!#REF!</f>
        <v>#REF!</v>
      </c>
      <c r="DF13" s="4" t="e">
        <f>'Entrada de Dados'!#REF!</f>
        <v>#REF!</v>
      </c>
      <c r="DG13" s="4" t="e">
        <f>'Entrada de Dados'!#REF!</f>
        <v>#REF!</v>
      </c>
      <c r="DH13" s="4" t="e">
        <f>'Entrada de Dados'!#REF!</f>
        <v>#REF!</v>
      </c>
      <c r="DI13" s="4" t="e">
        <f>'Entrada de Dados'!#REF!</f>
        <v>#REF!</v>
      </c>
      <c r="DJ13" s="4" t="e">
        <f>'Entrada de Dados'!#REF!</f>
        <v>#REF!</v>
      </c>
      <c r="DK13" s="4" t="e">
        <f>'Entrada de Dados'!#REF!</f>
        <v>#REF!</v>
      </c>
      <c r="DL13" s="4" t="e">
        <f>'Entrada de Dados'!#REF!</f>
        <v>#REF!</v>
      </c>
      <c r="DM13" s="4" t="e">
        <f>'Entrada de Dados'!#REF!</f>
        <v>#REF!</v>
      </c>
      <c r="DN13" s="4" t="e">
        <f>'Entrada de Dados'!#REF!</f>
        <v>#REF!</v>
      </c>
      <c r="DO13" s="4" t="e">
        <f>'Entrada de Dados'!#REF!</f>
        <v>#REF!</v>
      </c>
      <c r="DP13" s="4" t="e">
        <f>'Entrada de Dados'!#REF!</f>
        <v>#REF!</v>
      </c>
      <c r="DQ13" s="4" t="e">
        <f>'Entrada de Dados'!#REF!</f>
        <v>#REF!</v>
      </c>
      <c r="DR13" s="4" t="e">
        <f>'Entrada de Dados'!#REF!</f>
        <v>#REF!</v>
      </c>
      <c r="DS13" s="4" t="e">
        <f>'Entrada de Dados'!#REF!</f>
        <v>#REF!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BP91"/>
  <sheetViews>
    <sheetView showGridLines="0" zoomScale="90" zoomScaleNormal="90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A7" sqref="A7"/>
    </sheetView>
  </sheetViews>
  <sheetFormatPr defaultRowHeight="15" customHeight="1"/>
  <cols>
    <col min="1" max="1" width="26.5703125" style="154" customWidth="1"/>
    <col min="2" max="2" width="1.85546875" style="1" customWidth="1"/>
    <col min="3" max="3" width="9.140625" style="8"/>
    <col min="4" max="5" width="15.7109375" style="8" customWidth="1"/>
    <col min="6" max="6" width="3.7109375" style="8" customWidth="1"/>
    <col min="7" max="8" width="15.7109375" style="8" customWidth="1"/>
    <col min="9" max="9" width="3.7109375" style="8" customWidth="1"/>
    <col min="10" max="11" width="15.7109375" style="8" customWidth="1"/>
    <col min="12" max="12" width="3.7109375" style="8" customWidth="1"/>
    <col min="13" max="15" width="15.7109375" style="8" customWidth="1"/>
    <col min="16" max="68" width="9.140625" style="8"/>
    <col min="69" max="16384" width="9.140625" style="1"/>
  </cols>
  <sheetData>
    <row r="1" spans="1:68" ht="48.75" customHeight="1">
      <c r="A1" s="150"/>
      <c r="B1" s="6" t="s">
        <v>0</v>
      </c>
      <c r="C1" s="42" t="s">
        <v>50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68" s="7" customFormat="1" ht="23.1" customHeight="1">
      <c r="A2" s="158" t="s">
        <v>3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</row>
    <row r="3" spans="1:68" ht="9.9499999999999993" customHeight="1" thickBot="1">
      <c r="A3" s="155"/>
    </row>
    <row r="4" spans="1:68" s="14" customFormat="1" ht="23.1" customHeight="1">
      <c r="A4" s="161" t="s">
        <v>4</v>
      </c>
      <c r="B4" s="167"/>
      <c r="C4" s="168"/>
      <c r="D4" s="43" t="s">
        <v>56</v>
      </c>
      <c r="E4" s="44"/>
      <c r="F4" s="53"/>
      <c r="G4" s="44" t="s">
        <v>57</v>
      </c>
      <c r="H4" s="44"/>
      <c r="I4" s="53"/>
      <c r="J4" s="44" t="s">
        <v>58</v>
      </c>
      <c r="K4" s="44"/>
      <c r="L4" s="53"/>
      <c r="M4" s="44" t="s">
        <v>59</v>
      </c>
      <c r="N4" s="61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</row>
    <row r="5" spans="1:68" ht="23.1" customHeight="1">
      <c r="A5" s="162" t="s">
        <v>5</v>
      </c>
      <c r="B5" s="169"/>
      <c r="C5" s="166"/>
      <c r="D5" s="45" t="s">
        <v>18</v>
      </c>
      <c r="E5" s="101">
        <v>0.05</v>
      </c>
      <c r="F5" s="67"/>
      <c r="G5" s="8" t="s">
        <v>26</v>
      </c>
      <c r="H5" s="101">
        <v>6.4999999999999997E-3</v>
      </c>
      <c r="I5" s="67"/>
      <c r="J5" s="8" t="s">
        <v>26</v>
      </c>
      <c r="K5" s="101">
        <v>1.6500000000000001E-2</v>
      </c>
      <c r="L5" s="67"/>
      <c r="M5" s="8" t="s">
        <v>33</v>
      </c>
      <c r="N5" s="46">
        <f>'Anexo I Comércio'!E5</f>
        <v>0.04</v>
      </c>
      <c r="O5" s="37"/>
    </row>
    <row r="6" spans="1:68" ht="21.95" customHeight="1">
      <c r="A6" s="103" t="s">
        <v>51</v>
      </c>
      <c r="B6" s="169"/>
      <c r="C6" s="166"/>
      <c r="D6" s="45" t="s">
        <v>19</v>
      </c>
      <c r="E6" s="101">
        <v>0.05</v>
      </c>
      <c r="F6" s="67"/>
      <c r="G6" s="8" t="s">
        <v>27</v>
      </c>
      <c r="H6" s="101">
        <v>0.03</v>
      </c>
      <c r="I6" s="67"/>
      <c r="J6" s="8" t="s">
        <v>27</v>
      </c>
      <c r="K6" s="101">
        <v>7.5999999999999998E-2</v>
      </c>
      <c r="L6" s="67"/>
      <c r="M6" s="8" t="s">
        <v>34</v>
      </c>
      <c r="N6" s="46">
        <f>'Anexo II - Indústria'!E5</f>
        <v>4.4999999999999998E-2</v>
      </c>
      <c r="O6" s="37"/>
    </row>
    <row r="7" spans="1:68" ht="21.95" customHeight="1">
      <c r="A7" s="162" t="s">
        <v>52</v>
      </c>
      <c r="B7" s="169"/>
      <c r="C7" s="166"/>
      <c r="D7" s="45" t="s">
        <v>20</v>
      </c>
      <c r="E7" s="101">
        <v>0.18</v>
      </c>
      <c r="F7" s="67"/>
      <c r="G7" s="8" t="s">
        <v>28</v>
      </c>
      <c r="H7" s="101">
        <v>0.15</v>
      </c>
      <c r="I7" s="67"/>
      <c r="J7" s="8" t="s">
        <v>28</v>
      </c>
      <c r="K7" s="101">
        <v>0.15</v>
      </c>
      <c r="L7" s="67"/>
      <c r="M7" s="8" t="s">
        <v>35</v>
      </c>
      <c r="N7" s="46">
        <f>'Anexo III - Serviços Inst.'!E5</f>
        <v>0.06</v>
      </c>
      <c r="O7" s="37"/>
    </row>
    <row r="8" spans="1:68" ht="21.95" customHeight="1">
      <c r="A8" s="162"/>
      <c r="B8" s="169"/>
      <c r="C8" s="166"/>
      <c r="D8" s="45" t="s">
        <v>21</v>
      </c>
      <c r="E8" s="101">
        <v>0.01</v>
      </c>
      <c r="F8" s="67"/>
      <c r="G8" s="8" t="s">
        <v>29</v>
      </c>
      <c r="H8" s="101">
        <v>0.1</v>
      </c>
      <c r="I8" s="67"/>
      <c r="J8" s="8" t="s">
        <v>29</v>
      </c>
      <c r="K8" s="101">
        <v>0.1</v>
      </c>
      <c r="L8" s="67"/>
      <c r="M8" s="8" t="s">
        <v>36</v>
      </c>
      <c r="N8" s="46">
        <f>'Anexo IV - Serviços em geral'!E5</f>
        <v>4.4999999999999998E-2</v>
      </c>
      <c r="O8" s="37"/>
    </row>
    <row r="9" spans="1:68" ht="21.95" customHeight="1">
      <c r="A9" s="162"/>
      <c r="B9" s="169"/>
      <c r="C9" s="166"/>
      <c r="D9" s="45" t="s">
        <v>110</v>
      </c>
      <c r="E9" s="37">
        <f>IF('Entrada de Dados'!E7="Sim",'Entrada de Dados'!E8,0)</f>
        <v>0</v>
      </c>
      <c r="F9" s="67"/>
      <c r="G9" s="8" t="s">
        <v>30</v>
      </c>
      <c r="H9" s="101">
        <v>0.09</v>
      </c>
      <c r="I9" s="67"/>
      <c r="J9" s="8" t="s">
        <v>30</v>
      </c>
      <c r="K9" s="101">
        <v>0.09</v>
      </c>
      <c r="L9" s="67"/>
      <c r="M9" s="8" t="s">
        <v>37</v>
      </c>
      <c r="N9" s="46">
        <f>IF('Entrada de Dados'!K5/'Entrada de Dados'!H12&gt;0.28,'Aliquota de Impostos'!N7,'Anexo V - Serviços Intelectuais'!E5)</f>
        <v>0.155</v>
      </c>
      <c r="O9" s="37"/>
    </row>
    <row r="10" spans="1:68" ht="21.95" customHeight="1">
      <c r="A10" s="162" t="s">
        <v>140</v>
      </c>
      <c r="B10" s="169"/>
      <c r="C10" s="166"/>
      <c r="D10" s="45" t="s">
        <v>31</v>
      </c>
      <c r="E10" s="101">
        <v>0.2</v>
      </c>
      <c r="F10" s="67"/>
      <c r="H10" s="37"/>
      <c r="I10" s="67"/>
      <c r="K10" s="37"/>
      <c r="L10" s="67"/>
      <c r="N10" s="46"/>
      <c r="O10" s="37"/>
    </row>
    <row r="11" spans="1:68" s="3" customFormat="1" ht="21.95" customHeight="1" thickBot="1">
      <c r="A11" s="162"/>
      <c r="B11" s="169"/>
      <c r="C11" s="166"/>
      <c r="D11" s="45" t="s">
        <v>32</v>
      </c>
      <c r="E11" s="101">
        <v>5.8000000000000003E-2</v>
      </c>
      <c r="F11" s="67"/>
      <c r="G11" s="8"/>
      <c r="H11" s="35"/>
      <c r="I11" s="68"/>
      <c r="J11" s="8"/>
      <c r="K11" s="35"/>
      <c r="L11" s="68"/>
      <c r="M11" s="8" t="s">
        <v>116</v>
      </c>
      <c r="N11" s="46">
        <f>'Anexo I Comércio'!E5-'Anexo I Comércio'!K5</f>
        <v>2.64E-2</v>
      </c>
      <c r="O11" s="35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</row>
    <row r="12" spans="1:68" s="13" customFormat="1" ht="21.95" customHeight="1">
      <c r="A12" s="170"/>
      <c r="B12" s="167"/>
      <c r="C12" s="168"/>
      <c r="D12" s="45" t="s">
        <v>38</v>
      </c>
      <c r="E12" s="101">
        <v>0.18</v>
      </c>
      <c r="F12" s="67"/>
      <c r="G12" s="12"/>
      <c r="H12" s="36"/>
      <c r="I12" s="69"/>
      <c r="J12" s="12"/>
      <c r="K12" s="12"/>
      <c r="L12" s="66"/>
      <c r="M12" s="12"/>
      <c r="N12" s="48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</row>
    <row r="13" spans="1:68" ht="21.95" customHeight="1">
      <c r="A13" s="152"/>
      <c r="B13" s="19"/>
      <c r="D13" s="45" t="s">
        <v>39</v>
      </c>
      <c r="E13" s="101">
        <v>0.12</v>
      </c>
      <c r="F13" s="67"/>
      <c r="I13" s="54"/>
      <c r="L13" s="54"/>
      <c r="N13" s="47"/>
    </row>
    <row r="14" spans="1:68" ht="21.95" customHeight="1">
      <c r="A14" s="152"/>
      <c r="B14" s="19"/>
      <c r="D14" s="45" t="s">
        <v>44</v>
      </c>
      <c r="E14" s="101">
        <v>0.04</v>
      </c>
      <c r="F14" s="67"/>
      <c r="I14" s="54"/>
      <c r="L14" s="54"/>
      <c r="N14" s="47"/>
    </row>
    <row r="15" spans="1:68" ht="21.95" customHeight="1">
      <c r="A15" s="152"/>
      <c r="B15" s="19"/>
      <c r="D15" s="45" t="s">
        <v>42</v>
      </c>
      <c r="E15" s="101">
        <v>0.05</v>
      </c>
      <c r="F15" s="67"/>
      <c r="I15" s="54"/>
      <c r="L15" s="54"/>
      <c r="N15" s="47"/>
    </row>
    <row r="16" spans="1:68" ht="21.95" customHeight="1" thickBot="1">
      <c r="A16" s="153"/>
      <c r="B16" s="19"/>
      <c r="D16" s="56" t="s">
        <v>41</v>
      </c>
      <c r="E16" s="102">
        <v>0.08</v>
      </c>
      <c r="F16" s="70"/>
      <c r="G16" s="71"/>
      <c r="H16" s="71"/>
      <c r="I16" s="57"/>
      <c r="J16" s="71"/>
      <c r="K16" s="71"/>
      <c r="L16" s="57"/>
      <c r="M16" s="71"/>
      <c r="N16" s="72"/>
    </row>
    <row r="17" spans="1:68" ht="21.95" customHeight="1">
      <c r="A17" s="153"/>
      <c r="B17" s="19"/>
    </row>
    <row r="18" spans="1:68" ht="21.95" customHeight="1">
      <c r="A18" s="153"/>
      <c r="B18" s="19"/>
    </row>
    <row r="19" spans="1:68" ht="21.95" customHeight="1">
      <c r="A19" s="153"/>
      <c r="B19" s="19"/>
    </row>
    <row r="20" spans="1:68" s="3" customFormat="1" ht="21.95" customHeight="1" thickBot="1">
      <c r="A20" s="153"/>
      <c r="B20" s="1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</row>
    <row r="21" spans="1:68" s="15" customFormat="1" ht="21.95" customHeight="1">
      <c r="A21" s="153"/>
      <c r="B21" s="3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</row>
    <row r="22" spans="1:68" s="16" customFormat="1" ht="21.95" customHeight="1">
      <c r="A22" s="153"/>
      <c r="B22" s="3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</row>
    <row r="23" spans="1:68" ht="21.95" customHeight="1">
      <c r="A23" s="153"/>
      <c r="B23" s="17"/>
    </row>
    <row r="24" spans="1:68" ht="21.95" customHeight="1">
      <c r="A24" s="153"/>
      <c r="B24" s="17"/>
    </row>
    <row r="25" spans="1:68" ht="21.95" customHeight="1">
      <c r="A25" s="153"/>
      <c r="B25" s="17"/>
    </row>
    <row r="26" spans="1:68" ht="21.95" customHeight="1">
      <c r="A26" s="153"/>
      <c r="B26" s="17"/>
    </row>
    <row r="27" spans="1:68" ht="21.95" customHeight="1">
      <c r="A27" s="153"/>
      <c r="B27" s="17"/>
    </row>
    <row r="28" spans="1:68" ht="21.95" customHeight="1">
      <c r="A28" s="153"/>
      <c r="B28" s="17"/>
    </row>
    <row r="29" spans="1:68" ht="21.95" customHeight="1">
      <c r="A29" s="153"/>
      <c r="B29" s="17"/>
    </row>
    <row r="30" spans="1:68" ht="21.95" customHeight="1">
      <c r="A30" s="153"/>
      <c r="B30" s="17"/>
    </row>
    <row r="31" spans="1:68" ht="21.95" customHeight="1">
      <c r="B31" s="17"/>
    </row>
    <row r="32" spans="1:68" ht="21.95" customHeight="1">
      <c r="B32" s="17"/>
    </row>
    <row r="33" spans="1:68" ht="21.95" customHeight="1">
      <c r="B33" s="17"/>
    </row>
    <row r="34" spans="1:68" ht="21.95" customHeight="1">
      <c r="B34" s="17"/>
    </row>
    <row r="35" spans="1:68" s="3" customFormat="1" ht="21.95" customHeight="1" thickBot="1">
      <c r="A35" s="154"/>
      <c r="B35" s="1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</row>
    <row r="36" spans="1:68" s="11" customFormat="1" ht="21.95" customHeight="1">
      <c r="A36" s="154"/>
      <c r="B36" s="3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1:68" ht="21.95" customHeight="1">
      <c r="B37" s="17"/>
    </row>
    <row r="38" spans="1:68" ht="21.95" customHeight="1">
      <c r="B38" s="17"/>
    </row>
    <row r="39" spans="1:68" ht="21.95" customHeight="1">
      <c r="B39" s="17"/>
    </row>
    <row r="40" spans="1:68" ht="21.95" customHeight="1">
      <c r="B40" s="17"/>
    </row>
    <row r="41" spans="1:68" ht="21.95" customHeight="1">
      <c r="B41" s="17"/>
    </row>
    <row r="42" spans="1:68" ht="21.95" customHeight="1">
      <c r="B42" s="17"/>
    </row>
    <row r="43" spans="1:68" ht="21.95" customHeight="1">
      <c r="B43" s="17"/>
    </row>
    <row r="44" spans="1:68" ht="21.95" customHeight="1">
      <c r="B44" s="17"/>
    </row>
    <row r="45" spans="1:68" ht="21.95" customHeight="1">
      <c r="B45" s="17"/>
    </row>
    <row r="46" spans="1:68" ht="21.95" customHeight="1">
      <c r="B46" s="17"/>
    </row>
    <row r="47" spans="1:68" ht="21.95" customHeight="1">
      <c r="B47" s="17"/>
    </row>
    <row r="48" spans="1:68" ht="21.95" customHeight="1">
      <c r="B48" s="17"/>
    </row>
    <row r="49" spans="1:68" ht="21.95" customHeight="1">
      <c r="B49" s="17"/>
    </row>
    <row r="50" spans="1:68" ht="21.95" customHeight="1">
      <c r="B50" s="17"/>
    </row>
    <row r="51" spans="1:68" ht="21.95" customHeight="1">
      <c r="B51" s="17"/>
    </row>
    <row r="52" spans="1:68" ht="21.95" customHeight="1">
      <c r="B52" s="17"/>
    </row>
    <row r="53" spans="1:68" ht="21.95" customHeight="1">
      <c r="B53" s="17"/>
    </row>
    <row r="54" spans="1:68" s="3" customFormat="1" ht="21.95" customHeight="1" thickBot="1">
      <c r="A54" s="154"/>
      <c r="B54" s="1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</row>
    <row r="55" spans="1:68" s="17" customFormat="1" ht="21.95" customHeight="1">
      <c r="A55" s="15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</row>
    <row r="56" spans="1:68" s="17" customFormat="1" ht="21.95" customHeight="1">
      <c r="A56" s="15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</row>
    <row r="57" spans="1:68" s="14" customFormat="1" ht="21.95" customHeight="1">
      <c r="A57" s="154"/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</row>
    <row r="58" spans="1:68" s="6" customFormat="1" ht="21.95" customHeight="1">
      <c r="A58" s="15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</row>
    <row r="59" spans="1:68" s="6" customFormat="1" ht="21.95" customHeight="1">
      <c r="A59" s="15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</row>
    <row r="60" spans="1:68" s="6" customFormat="1" ht="21.95" customHeight="1">
      <c r="A60" s="15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</row>
    <row r="61" spans="1:68" s="6" customFormat="1" ht="21.95" customHeight="1">
      <c r="A61" s="15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</row>
    <row r="62" spans="1:68" ht="21.95" customHeight="1"/>
    <row r="63" spans="1:68" ht="21.95" customHeight="1"/>
    <row r="64" spans="1:68" ht="21.95" customHeight="1"/>
    <row r="65" spans="1:68" s="6" customFormat="1" ht="21.95" customHeight="1">
      <c r="A65" s="15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</row>
    <row r="66" spans="1:68" ht="21.95" customHeight="1"/>
    <row r="67" spans="1:68" ht="21.95" customHeight="1"/>
    <row r="68" spans="1:68" ht="21.95" customHeight="1"/>
    <row r="69" spans="1:68" ht="21.95" customHeight="1"/>
    <row r="70" spans="1:68" s="21" customFormat="1" ht="21.95" customHeight="1">
      <c r="A70" s="154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</row>
    <row r="71" spans="1:68" s="5" customFormat="1" ht="21.95" customHeight="1">
      <c r="A71" s="15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</row>
    <row r="72" spans="1:68" ht="21.95" customHeight="1"/>
    <row r="73" spans="1:68" ht="21.95" customHeight="1"/>
    <row r="74" spans="1:68" ht="21.95" customHeight="1"/>
    <row r="75" spans="1:68" ht="21.95" customHeight="1"/>
    <row r="76" spans="1:68" ht="21.95" customHeight="1"/>
    <row r="77" spans="1:68" ht="21.95" customHeight="1"/>
    <row r="78" spans="1:68" ht="21.95" customHeight="1"/>
    <row r="79" spans="1:68" ht="21.95" customHeight="1"/>
    <row r="80" spans="1:68" ht="21.95" customHeight="1"/>
    <row r="81" ht="21.95" customHeight="1"/>
    <row r="82" ht="21.95" customHeight="1"/>
    <row r="83" ht="21.95" customHeight="1"/>
    <row r="84" ht="21.95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</sheetData>
  <sheetProtection algorithmName="SHA-512" hashValue="4DhroJS88rr4AhP9LqgS/83ewUPV0bO98P1nu3uw/YY36ZdUzU4OtUjcJqLMc4qUu8jNpeNSQwYLC20VgdAscg==" saltValue="hddgjdIoKBfLJ3a+srTOrQ==" spinCount="100000" sheet="1" objects="1" scenarios="1" selectLockedCells="1"/>
  <hyperlinks>
    <hyperlink ref="A4" location="Inicio!A1" display="Início"/>
    <hyperlink ref="A6" location="'Aliquota de Impostos'!A1" display="  2. Aliquota de Imposto"/>
    <hyperlink ref="A7" location="Resultados!A1" display="  3. Resultados"/>
    <hyperlink ref="A5" location="'Entrada de Dados'!A1" display="  1. Entrada de Dados"/>
    <hyperlink ref="A10" location="'Sobre a Capital Social'!A1" display="  Sobre a Capital Social"/>
  </hyperlinks>
  <pageMargins left="0.74803149606299213" right="0.74803149606299213" top="0.98425196850393704" bottom="0.98425196850393704" header="0.51181102362204722" footer="0.51181102362204722"/>
  <pageSetup paperSize="9" scale="72" orientation="landscape" verticalDpi="0" r:id="rId1"/>
  <headerFooter>
    <oddFooter>&amp;C&amp;"Arial,Negrito"&amp;11Obs: &amp;"Arial,Normal"As informações servem para orientação geral, e não significam aconselhamento. Cálculos simplificados estão sujeitas a erros/imprecisões. Não nos responsabilizamos pelo uso das informações. Consulte seu contador.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BO91"/>
  <sheetViews>
    <sheetView showGridLines="0" zoomScale="90" zoomScaleNormal="90" workbookViewId="0">
      <pane xSplit="2" ySplit="3" topLeftCell="C4" activePane="bottomRight" state="frozenSplit"/>
      <selection pane="topRight" activeCell="C1" sqref="C1"/>
      <selection pane="bottomLeft" activeCell="A4" sqref="A4"/>
      <selection pane="bottomRight" activeCell="A10" sqref="A10"/>
    </sheetView>
  </sheetViews>
  <sheetFormatPr defaultRowHeight="15" customHeight="1"/>
  <cols>
    <col min="1" max="1" width="26.5703125" style="154" customWidth="1"/>
    <col min="2" max="2" width="1.85546875" style="1" customWidth="1"/>
    <col min="3" max="3" width="9.140625" style="8"/>
    <col min="4" max="4" width="18.42578125" style="8" bestFit="1" customWidth="1"/>
    <col min="5" max="5" width="3.7109375" style="8" customWidth="1"/>
    <col min="6" max="7" width="21.7109375" style="8" customWidth="1"/>
    <col min="8" max="8" width="3.7109375" style="8" customWidth="1"/>
    <col min="9" max="10" width="21.7109375" style="8" customWidth="1"/>
    <col min="11" max="11" width="3.7109375" style="8" customWidth="1"/>
    <col min="12" max="14" width="21.7109375" style="8" customWidth="1"/>
    <col min="15" max="67" width="9.140625" style="8"/>
    <col min="68" max="16384" width="9.140625" style="1"/>
  </cols>
  <sheetData>
    <row r="1" spans="1:67" ht="40.5" customHeight="1">
      <c r="A1" s="150"/>
      <c r="B1" s="6" t="s">
        <v>0</v>
      </c>
      <c r="C1" s="42" t="s">
        <v>83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67" s="7" customFormat="1" ht="23.1" customHeight="1">
      <c r="A2" s="158" t="s">
        <v>3</v>
      </c>
      <c r="B2" s="163"/>
      <c r="C2" s="164"/>
      <c r="D2" s="9"/>
      <c r="E2" s="9"/>
      <c r="F2" s="9"/>
      <c r="G2" s="9"/>
      <c r="H2" s="9"/>
      <c r="I2" s="41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</row>
    <row r="3" spans="1:67" ht="9.9499999999999993" customHeight="1" thickBot="1">
      <c r="A3" s="160"/>
      <c r="B3" s="165"/>
      <c r="C3" s="166"/>
    </row>
    <row r="4" spans="1:67" s="14" customFormat="1" ht="23.1" customHeight="1">
      <c r="A4" s="161" t="s">
        <v>4</v>
      </c>
      <c r="B4" s="167"/>
      <c r="C4" s="168"/>
      <c r="D4" s="88" t="s">
        <v>17</v>
      </c>
      <c r="E4" s="53"/>
      <c r="F4" s="210" t="s">
        <v>23</v>
      </c>
      <c r="G4" s="210"/>
      <c r="H4" s="53"/>
      <c r="I4" s="210" t="s">
        <v>24</v>
      </c>
      <c r="J4" s="210"/>
      <c r="K4" s="53"/>
      <c r="L4" s="210" t="s">
        <v>25</v>
      </c>
      <c r="M4" s="2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</row>
    <row r="5" spans="1:67" ht="23.1" customHeight="1" thickBot="1">
      <c r="A5" s="162" t="s">
        <v>5</v>
      </c>
      <c r="B5" s="169"/>
      <c r="C5" s="166"/>
      <c r="D5" s="89"/>
      <c r="E5" s="57"/>
      <c r="F5" s="58" t="s">
        <v>111</v>
      </c>
      <c r="G5" s="59" t="s">
        <v>40</v>
      </c>
      <c r="H5" s="57"/>
      <c r="I5" s="58" t="s">
        <v>111</v>
      </c>
      <c r="J5" s="59" t="s">
        <v>40</v>
      </c>
      <c r="K5" s="57"/>
      <c r="L5" s="58" t="s">
        <v>111</v>
      </c>
      <c r="M5" s="60" t="s">
        <v>40</v>
      </c>
      <c r="N5" s="37"/>
    </row>
    <row r="6" spans="1:67" ht="21.95" customHeight="1">
      <c r="A6" s="162" t="s">
        <v>51</v>
      </c>
      <c r="B6" s="169"/>
      <c r="C6" s="166"/>
      <c r="D6" s="90" t="s">
        <v>26</v>
      </c>
      <c r="E6" s="54"/>
      <c r="F6" s="38">
        <f>'Aliquota de Impostos'!H5</f>
        <v>6.4999999999999997E-3</v>
      </c>
      <c r="G6" s="39">
        <f>'Entrada de Dados'!H12*Resultados!F6</f>
        <v>97.5</v>
      </c>
      <c r="H6" s="54"/>
      <c r="I6" s="38">
        <f>J6/'Entrada de Dados'!$H$12</f>
        <v>1.6500000000000001E-2</v>
      </c>
      <c r="J6" s="39">
        <f>(('Entrada de Dados'!H12)*'Aliquota de Impostos'!K5)-(SUM('Entrada de Dados'!K6:K11)*'Aliquota de Impostos'!K5)</f>
        <v>247.5</v>
      </c>
      <c r="K6" s="54"/>
      <c r="L6" s="38">
        <f>M6/'Entrada de Dados'!$H$12</f>
        <v>0</v>
      </c>
      <c r="M6" s="64">
        <v>0</v>
      </c>
      <c r="N6" s="37"/>
    </row>
    <row r="7" spans="1:67" ht="21.95" customHeight="1">
      <c r="A7" s="103" t="s">
        <v>84</v>
      </c>
      <c r="B7" s="169"/>
      <c r="C7" s="166"/>
      <c r="D7" s="90" t="s">
        <v>27</v>
      </c>
      <c r="E7" s="54"/>
      <c r="F7" s="38">
        <f>'Aliquota de Impostos'!H6</f>
        <v>0.03</v>
      </c>
      <c r="G7" s="39">
        <f>'Entrada de Dados'!H12*Resultados!F7</f>
        <v>450</v>
      </c>
      <c r="H7" s="54"/>
      <c r="I7" s="38">
        <f>J7/'Entrada de Dados'!$H$12</f>
        <v>7.5999999999999998E-2</v>
      </c>
      <c r="J7" s="39">
        <f>(('Entrada de Dados'!H12)*'Aliquota de Impostos'!K6)-(SUM('Entrada de Dados'!K6:K11)*'Aliquota de Impostos'!K6)</f>
        <v>1140</v>
      </c>
      <c r="K7" s="54"/>
      <c r="L7" s="38">
        <f>M7/'Entrada de Dados'!$H$12</f>
        <v>0</v>
      </c>
      <c r="M7" s="64">
        <v>0</v>
      </c>
      <c r="N7" s="37"/>
    </row>
    <row r="8" spans="1:67" ht="21.95" customHeight="1">
      <c r="A8" s="162"/>
      <c r="B8" s="169"/>
      <c r="C8" s="166"/>
      <c r="D8" s="90" t="s">
        <v>28</v>
      </c>
      <c r="E8" s="54"/>
      <c r="F8" s="38">
        <f>G8/'Entrada de Dados'!$H$12</f>
        <v>1.2E-2</v>
      </c>
      <c r="G8" s="39">
        <f>(((SUM('Entrada de Dados'!H5:H7)*8%)+(SUM('Entrada de Dados'!H8:H11)*32%))*'Aliquota de Impostos'!H7)</f>
        <v>180</v>
      </c>
      <c r="H8" s="54"/>
      <c r="I8" s="38">
        <f>J8/'Entrada de Dados'!$H$12</f>
        <v>3.7124999999999998E-2</v>
      </c>
      <c r="J8" s="39">
        <f>('Entrada de Dados'!H12-'Entrada de Dados'!K13-J6-J7-J12-J13-J16-J17-J18-J20)*'Aliquota de Impostos'!K7</f>
        <v>556.875</v>
      </c>
      <c r="K8" s="54"/>
      <c r="L8" s="38">
        <f>M8/'Entrada de Dados'!$H$12</f>
        <v>0</v>
      </c>
      <c r="M8" s="64">
        <v>0</v>
      </c>
      <c r="N8" s="37"/>
    </row>
    <row r="9" spans="1:67" ht="21.95" customHeight="1">
      <c r="A9" s="162"/>
      <c r="B9" s="169"/>
      <c r="C9" s="166"/>
      <c r="D9" s="90" t="s">
        <v>29</v>
      </c>
      <c r="E9" s="54"/>
      <c r="F9" s="38">
        <f>G9/'Entrada de Dados'!$H$12</f>
        <v>0</v>
      </c>
      <c r="G9" s="39">
        <f>IF(((SUM('Entrada de Dados'!H5:H7)*8%)+(SUM('Entrada de Dados'!H8:H11)*32%))&gt;240000,(((SUM('Entrada de Dados'!H5:H7)*8%)+(SUM('Entrada de Dados'!H8:H11)*32%))-240000)*'Aliquota de Impostos'!H8,0)</f>
        <v>0</v>
      </c>
      <c r="H9" s="54"/>
      <c r="I9" s="38">
        <f>J9/'Entrada de Dados'!$H$12</f>
        <v>0</v>
      </c>
      <c r="J9" s="39">
        <f>IF(('Entrada de Dados'!H12-'Entrada de Dados'!K13-J6-J7-J12-J13-J16-J17-J18-J20)&gt;240000,(('Entrada de Dados'!H12-'Entrada de Dados'!K13-J6-J7-J12-J13-J16-J17-J18-J20)-240000)*'Aliquota de Impostos'!K8,0)</f>
        <v>0</v>
      </c>
      <c r="K9" s="54"/>
      <c r="L9" s="38">
        <f>M9/'Entrada de Dados'!$H$12</f>
        <v>0</v>
      </c>
      <c r="M9" s="64">
        <v>0</v>
      </c>
      <c r="N9" s="37"/>
    </row>
    <row r="10" spans="1:67" ht="21.95" customHeight="1">
      <c r="A10" s="162" t="s">
        <v>140</v>
      </c>
      <c r="B10" s="169"/>
      <c r="C10" s="166"/>
      <c r="D10" s="90" t="s">
        <v>30</v>
      </c>
      <c r="E10" s="54"/>
      <c r="F10" s="38">
        <f>G10/'Entrada de Dados'!$H$12</f>
        <v>1.0800000000000001E-2</v>
      </c>
      <c r="G10" s="39">
        <f>(((SUM('Entrada de Dados'!H5:H7)*12%)+(SUM('Entrada de Dados'!H8:H11)*32%))*'Aliquota de Impostos'!H9)</f>
        <v>162</v>
      </c>
      <c r="H10" s="54"/>
      <c r="I10" s="38">
        <f>J10/'Entrada de Dados'!$H$12</f>
        <v>2.2275E-2</v>
      </c>
      <c r="J10" s="39">
        <f>('Entrada de Dados'!H12-'Entrada de Dados'!K13-J6-J7-J12-J13-J16-J17-J18-J20)*'Aliquota de Impostos'!K9</f>
        <v>334.125</v>
      </c>
      <c r="K10" s="54"/>
      <c r="L10" s="38">
        <f>M10/'Entrada de Dados'!$H$12</f>
        <v>0</v>
      </c>
      <c r="M10" s="64">
        <v>0</v>
      </c>
      <c r="N10" s="37"/>
    </row>
    <row r="11" spans="1:67" s="3" customFormat="1" ht="21.95" customHeight="1" thickBot="1">
      <c r="A11" s="162"/>
      <c r="B11" s="169"/>
      <c r="C11" s="166"/>
      <c r="D11" s="90" t="s">
        <v>18</v>
      </c>
      <c r="E11" s="54"/>
      <c r="F11" s="38">
        <f>G11/'Entrada de Dados'!$H$12</f>
        <v>0</v>
      </c>
      <c r="G11" s="39">
        <f>IF('Entrada de Dados'!H7&gt;0,'Entrada de Dados'!H7*'Aliquota de Impostos'!E5-SUM('Entrada de Dados'!K5)*'Aliquota de Impostos'!E15,0)</f>
        <v>0</v>
      </c>
      <c r="H11" s="54"/>
      <c r="I11" s="38">
        <f>J11/'Entrada de Dados'!$H$12</f>
        <v>0</v>
      </c>
      <c r="J11" s="39">
        <f>IF('Entrada de Dados'!H7&gt;0,'Entrada de Dados'!H7*'Aliquota de Impostos'!E5-SUM('Entrada de Dados'!K5)*'Aliquota de Impostos'!E15,0)</f>
        <v>0</v>
      </c>
      <c r="K11" s="54"/>
      <c r="L11" s="38">
        <f>M11/'Entrada de Dados'!$H$12</f>
        <v>0</v>
      </c>
      <c r="M11" s="64">
        <v>0</v>
      </c>
      <c r="N11" s="35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</row>
    <row r="12" spans="1:67" s="13" customFormat="1" ht="21.95" customHeight="1">
      <c r="A12" s="170"/>
      <c r="B12" s="167"/>
      <c r="C12" s="168"/>
      <c r="D12" s="90" t="s">
        <v>19</v>
      </c>
      <c r="E12" s="54"/>
      <c r="F12" s="38">
        <f>G12/'Entrada de Dados'!$H$12</f>
        <v>0</v>
      </c>
      <c r="G12" s="39">
        <f>SUM('Entrada de Dados'!H8:H11)*'Aliquota de Impostos'!E6</f>
        <v>0</v>
      </c>
      <c r="H12" s="54"/>
      <c r="I12" s="38">
        <f>J12/'Entrada de Dados'!$H$12</f>
        <v>0</v>
      </c>
      <c r="J12" s="39">
        <f>SUM('Entrada de Dados'!H8:H11)*'Aliquota de Impostos'!E6</f>
        <v>0</v>
      </c>
      <c r="K12" s="54"/>
      <c r="L12" s="38">
        <f>M12/'Entrada de Dados'!$H$12</f>
        <v>0</v>
      </c>
      <c r="M12" s="64">
        <f>IF('Entrada de Dados'!H12&gt;3600000,Resultados!G12,0)</f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</row>
    <row r="13" spans="1:67" ht="21.95" customHeight="1">
      <c r="A13" s="152"/>
      <c r="B13" s="19"/>
      <c r="D13" s="90" t="s">
        <v>20</v>
      </c>
      <c r="E13" s="54"/>
      <c r="F13" s="38">
        <f>G13/'Entrada de Dados'!$H$12</f>
        <v>0.18</v>
      </c>
      <c r="G13" s="39">
        <f>(SUM(('Entrada de Dados'!H5+'Entrada de Dados'!H7)*'Aliquota de Impostos'!E12)-('Entrada de Dados'!K6*'Aliquota de Impostos'!E12)-('Entrada de Dados'!K7*'Aliquota de Impostos'!E13)-('Entrada de Dados'!K8*'Aliquota de Impostos'!E14))</f>
        <v>2700</v>
      </c>
      <c r="H13" s="54"/>
      <c r="I13" s="38">
        <f>J13/'Entrada de Dados'!$H$12</f>
        <v>0.18</v>
      </c>
      <c r="J13" s="39">
        <f>(SUM(('Entrada de Dados'!H5+'Entrada de Dados'!H7)*'Aliquota de Impostos'!E12)-('Entrada de Dados'!K6*'Aliquota de Impostos'!E12)-('Entrada de Dados'!K7*'Aliquota de Impostos'!E13)-('Entrada de Dados'!K8*'Aliquota de Impostos'!E14))</f>
        <v>2700</v>
      </c>
      <c r="K13" s="54"/>
      <c r="L13" s="38">
        <f>M13/'Entrada de Dados'!$H$12</f>
        <v>0</v>
      </c>
      <c r="M13" s="64">
        <f>IF('Entrada de Dados'!H12&gt;3600000,Resultados!G13,0)</f>
        <v>0</v>
      </c>
    </row>
    <row r="14" spans="1:67" ht="21.95" customHeight="1">
      <c r="A14" s="152"/>
      <c r="B14" s="19"/>
      <c r="D14" s="90" t="s">
        <v>53</v>
      </c>
      <c r="E14" s="54"/>
      <c r="F14" s="38">
        <v>0</v>
      </c>
      <c r="G14" s="39">
        <v>0</v>
      </c>
      <c r="H14" s="54"/>
      <c r="I14" s="38">
        <f>J14/'Entrada de Dados'!$H$12</f>
        <v>0</v>
      </c>
      <c r="J14" s="39">
        <v>0</v>
      </c>
      <c r="K14" s="54"/>
      <c r="L14" s="38">
        <f>M14/'Entrada de Dados'!$H$12</f>
        <v>0</v>
      </c>
      <c r="M14" s="64">
        <f>('Entrada de Dados'!K7*('Aliquota de Impostos'!E12-'Aliquota de Impostos'!E13))+('Entrada de Dados'!K8*('Aliquota de Impostos'!E12-'Aliquota de Impostos'!E14))</f>
        <v>0</v>
      </c>
    </row>
    <row r="15" spans="1:67" ht="21.95" customHeight="1">
      <c r="A15" s="152"/>
      <c r="B15" s="19"/>
      <c r="D15" s="90" t="s">
        <v>25</v>
      </c>
      <c r="E15" s="54"/>
      <c r="F15" s="38">
        <v>0</v>
      </c>
      <c r="G15" s="39">
        <v>0</v>
      </c>
      <c r="H15" s="54"/>
      <c r="I15" s="38">
        <f>J15/'Entrada de Dados'!$H$12</f>
        <v>0</v>
      </c>
      <c r="J15" s="39">
        <v>0</v>
      </c>
      <c r="K15" s="54"/>
      <c r="L15" s="38">
        <f>M15/'Entrada de Dados'!$H$12</f>
        <v>0.04</v>
      </c>
      <c r="M15" s="64">
        <f>('Entrada de Dados'!H5*'Aliquota de Impostos'!N5)+('Entrada de Dados'!H6*'Aliquota de Impostos'!N11)+('Entrada de Dados'!H7*'Aliquota de Impostos'!N6)+('Entrada de Dados'!H8*'Aliquota de Impostos'!N7)+('Entrada de Dados'!H9*'Aliquota de Impostos'!N8)+('Entrada de Dados'!H10*'Aliquota de Impostos'!N9)+('Entrada de Dados'!H11*'Aliquota de Impostos'!N10)</f>
        <v>600</v>
      </c>
    </row>
    <row r="16" spans="1:67" ht="21.95" customHeight="1">
      <c r="A16" s="153"/>
      <c r="B16" s="19"/>
      <c r="D16" s="90" t="s">
        <v>31</v>
      </c>
      <c r="E16" s="54"/>
      <c r="F16" s="38">
        <f>G16/'Entrada de Dados'!$H$12</f>
        <v>0</v>
      </c>
      <c r="G16" s="39">
        <f>IF(F19&gt;0,0,'Entrada de Dados'!K5*'Aliquota de Impostos'!E10)</f>
        <v>0</v>
      </c>
      <c r="H16" s="54"/>
      <c r="I16" s="38">
        <f>J16/'Entrada de Dados'!$H$12</f>
        <v>0</v>
      </c>
      <c r="J16" s="39">
        <f>IF(F19&gt;0,0,'Entrada de Dados'!K5*'Aliquota de Impostos'!E10)</f>
        <v>0</v>
      </c>
      <c r="K16" s="54"/>
      <c r="L16" s="38">
        <f>M16/'Entrada de Dados'!$H$12</f>
        <v>0</v>
      </c>
      <c r="M16" s="64">
        <f>IF('Entrada de Dados'!H9=0,0,IF(F19&gt;0,0,'Entrada de Dados'!K5*'Aliquota de Impostos'!E10))</f>
        <v>0</v>
      </c>
    </row>
    <row r="17" spans="1:67" ht="21.95" customHeight="1">
      <c r="A17" s="153"/>
      <c r="B17" s="19"/>
      <c r="D17" s="90" t="s">
        <v>32</v>
      </c>
      <c r="E17" s="54"/>
      <c r="F17" s="38">
        <f>G17/'Entrada de Dados'!$H$12</f>
        <v>0</v>
      </c>
      <c r="G17" s="39">
        <f>'Entrada de Dados'!K5*'Aliquota de Impostos'!E11</f>
        <v>0</v>
      </c>
      <c r="H17" s="54"/>
      <c r="I17" s="38">
        <f>J17/'Entrada de Dados'!$H$12</f>
        <v>0</v>
      </c>
      <c r="J17" s="39">
        <f>'Entrada de Dados'!K5*'Aliquota de Impostos'!E11</f>
        <v>0</v>
      </c>
      <c r="K17" s="54"/>
      <c r="L17" s="38">
        <f>M17/'Entrada de Dados'!$H$12</f>
        <v>0</v>
      </c>
      <c r="M17" s="64">
        <v>0</v>
      </c>
    </row>
    <row r="18" spans="1:67" ht="21.95" customHeight="1">
      <c r="A18" s="153"/>
      <c r="B18" s="19"/>
      <c r="D18" s="90" t="s">
        <v>21</v>
      </c>
      <c r="E18" s="54"/>
      <c r="F18" s="38">
        <f>G18/'Entrada de Dados'!$H$12</f>
        <v>0</v>
      </c>
      <c r="G18" s="39">
        <f>'Entrada de Dados'!K5*'Aliquota de Impostos'!E8</f>
        <v>0</v>
      </c>
      <c r="H18" s="54"/>
      <c r="I18" s="38">
        <f>J18/'Entrada de Dados'!$H$12</f>
        <v>0</v>
      </c>
      <c r="J18" s="39">
        <f>'Entrada de Dados'!K5*'Aliquota de Impostos'!E8</f>
        <v>0</v>
      </c>
      <c r="K18" s="54"/>
      <c r="L18" s="38">
        <f>M18/'Entrada de Dados'!$H$12</f>
        <v>0</v>
      </c>
      <c r="M18" s="64">
        <f>IF('Entrada de Dados'!H9=0,0,IF(F19&gt;0,0,'Entrada de Dados'!K5*'Aliquota de Impostos'!E8))</f>
        <v>0</v>
      </c>
    </row>
    <row r="19" spans="1:67" ht="21.95" customHeight="1">
      <c r="A19" s="153"/>
      <c r="B19" s="19"/>
      <c r="D19" s="90" t="s">
        <v>22</v>
      </c>
      <c r="E19" s="54"/>
      <c r="F19" s="40">
        <f>'Aliquota de Impostos'!E9</f>
        <v>0</v>
      </c>
      <c r="G19" s="39">
        <f>'Entrada de Dados'!H12*Resultados!F19</f>
        <v>0</v>
      </c>
      <c r="H19" s="54"/>
      <c r="I19" s="38">
        <f>'Aliquota de Impostos'!E9</f>
        <v>0</v>
      </c>
      <c r="J19" s="39">
        <f>'Entrada de Dados'!K5*Resultados!F19</f>
        <v>0</v>
      </c>
      <c r="K19" s="54"/>
      <c r="L19" s="38">
        <f>M19/'Entrada de Dados'!$H$12</f>
        <v>0</v>
      </c>
      <c r="M19" s="64">
        <f>IF('Aliquota de Impostos'!E9&gt;0,'Entrada de Dados'!H9*'Aliquota de Impostos'!E9,0)</f>
        <v>0</v>
      </c>
    </row>
    <row r="20" spans="1:67" s="3" customFormat="1" ht="21.95" customHeight="1" thickBot="1">
      <c r="A20" s="153"/>
      <c r="B20" s="19"/>
      <c r="C20" s="8"/>
      <c r="D20" s="90" t="s">
        <v>41</v>
      </c>
      <c r="E20" s="54"/>
      <c r="F20" s="38">
        <f>G20/'Entrada de Dados'!$H$12</f>
        <v>0</v>
      </c>
      <c r="G20" s="39">
        <f>'Entrada de Dados'!K5*'Aliquota de Impostos'!E16</f>
        <v>0</v>
      </c>
      <c r="H20" s="54"/>
      <c r="I20" s="38">
        <f>J20/'Entrada de Dados'!$H$12</f>
        <v>0</v>
      </c>
      <c r="J20" s="39">
        <f>'Entrada de Dados'!K5*'Aliquota de Impostos'!E16</f>
        <v>0</v>
      </c>
      <c r="K20" s="54"/>
      <c r="L20" s="38">
        <f>M20/'Entrada de Dados'!$H$12</f>
        <v>0</v>
      </c>
      <c r="M20" s="64">
        <f>'Entrada de Dados'!K5*'Aliquota de Impostos'!E16</f>
        <v>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</row>
    <row r="21" spans="1:67" s="15" customFormat="1" ht="21.95" customHeight="1" thickBot="1">
      <c r="A21" s="153"/>
      <c r="B21" s="32"/>
      <c r="C21" s="12"/>
      <c r="D21" s="91"/>
      <c r="E21" s="55"/>
      <c r="F21" s="50">
        <f>SUM(F6:F20)</f>
        <v>0.23930000000000001</v>
      </c>
      <c r="G21" s="51">
        <f>SUM(G6:G20)</f>
        <v>3589.5</v>
      </c>
      <c r="H21" s="55"/>
      <c r="I21" s="50">
        <f>SUM(I6:I20)</f>
        <v>0.33189999999999997</v>
      </c>
      <c r="J21" s="52">
        <f>SUM(J6:J20)</f>
        <v>4978.5</v>
      </c>
      <c r="K21" s="55"/>
      <c r="L21" s="50">
        <f>SUM(L6:L20)</f>
        <v>0.04</v>
      </c>
      <c r="M21" s="65">
        <f>SUM(M6:M20)</f>
        <v>600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</row>
    <row r="22" spans="1:67" s="16" customFormat="1" ht="21.95" customHeight="1">
      <c r="A22" s="153"/>
      <c r="B22" s="3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7" ht="21.95" customHeight="1">
      <c r="A23" s="153"/>
      <c r="B23" s="17"/>
    </row>
    <row r="24" spans="1:67" ht="21.95" customHeight="1">
      <c r="A24" s="153"/>
      <c r="B24" s="17"/>
    </row>
    <row r="25" spans="1:67" ht="21.95" customHeight="1">
      <c r="A25" s="153"/>
      <c r="B25" s="17"/>
    </row>
    <row r="26" spans="1:67" ht="21.95" customHeight="1">
      <c r="A26" s="153"/>
      <c r="B26" s="17"/>
    </row>
    <row r="27" spans="1:67" ht="21.95" customHeight="1">
      <c r="A27" s="153"/>
      <c r="B27" s="17"/>
    </row>
    <row r="28" spans="1:67" ht="21.95" customHeight="1">
      <c r="A28" s="153"/>
      <c r="B28" s="17"/>
    </row>
    <row r="29" spans="1:67" ht="21.95" customHeight="1">
      <c r="A29" s="153"/>
      <c r="B29" s="17"/>
    </row>
    <row r="30" spans="1:67" ht="21.95" customHeight="1">
      <c r="A30" s="153"/>
      <c r="B30" s="17"/>
    </row>
    <row r="31" spans="1:67" ht="21.95" customHeight="1">
      <c r="B31" s="17"/>
    </row>
    <row r="32" spans="1:67" ht="21.95" customHeight="1">
      <c r="B32" s="17"/>
    </row>
    <row r="33" spans="1:67" ht="21.95" customHeight="1">
      <c r="B33" s="17"/>
    </row>
    <row r="34" spans="1:67" ht="21.95" customHeight="1">
      <c r="B34" s="17"/>
    </row>
    <row r="35" spans="1:67" s="3" customFormat="1" ht="21.95" customHeight="1" thickBot="1">
      <c r="A35" s="154"/>
      <c r="B35" s="1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</row>
    <row r="36" spans="1:67" s="11" customFormat="1" ht="21.95" customHeight="1">
      <c r="A36" s="154"/>
      <c r="B36" s="3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</row>
    <row r="37" spans="1:67" ht="21.95" customHeight="1">
      <c r="B37" s="17"/>
    </row>
    <row r="38" spans="1:67" ht="21.95" customHeight="1">
      <c r="B38" s="17"/>
    </row>
    <row r="39" spans="1:67" ht="21.95" customHeight="1">
      <c r="B39" s="17"/>
    </row>
    <row r="40" spans="1:67" ht="21.95" customHeight="1">
      <c r="B40" s="17"/>
    </row>
    <row r="41" spans="1:67" ht="21.95" customHeight="1">
      <c r="B41" s="17"/>
    </row>
    <row r="42" spans="1:67" ht="21.95" customHeight="1">
      <c r="B42" s="17"/>
    </row>
    <row r="43" spans="1:67" ht="21.95" customHeight="1">
      <c r="B43" s="17"/>
    </row>
    <row r="44" spans="1:67" ht="21.95" customHeight="1">
      <c r="B44" s="17"/>
    </row>
    <row r="45" spans="1:67" ht="21.95" customHeight="1">
      <c r="B45" s="17"/>
    </row>
    <row r="46" spans="1:67" ht="21.95" customHeight="1">
      <c r="B46" s="17"/>
    </row>
    <row r="47" spans="1:67" ht="21.95" customHeight="1">
      <c r="B47" s="17"/>
    </row>
    <row r="48" spans="1:67" ht="21.95" customHeight="1">
      <c r="B48" s="17"/>
    </row>
    <row r="49" spans="1:67" ht="21.95" customHeight="1">
      <c r="B49" s="17"/>
    </row>
    <row r="50" spans="1:67" ht="21.95" customHeight="1">
      <c r="B50" s="17"/>
    </row>
    <row r="51" spans="1:67" ht="21.95" customHeight="1">
      <c r="B51" s="17"/>
    </row>
    <row r="52" spans="1:67" ht="21.95" customHeight="1">
      <c r="B52" s="17"/>
    </row>
    <row r="53" spans="1:67" ht="21.95" customHeight="1">
      <c r="B53" s="17"/>
    </row>
    <row r="54" spans="1:67" s="3" customFormat="1" ht="21.95" customHeight="1" thickBot="1">
      <c r="A54" s="154"/>
      <c r="B54" s="17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</row>
    <row r="55" spans="1:67" s="17" customFormat="1" ht="21.95" customHeight="1">
      <c r="A55" s="15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</row>
    <row r="56" spans="1:67" s="17" customFormat="1" ht="21.95" customHeight="1">
      <c r="A56" s="15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</row>
    <row r="57" spans="1:67" s="14" customFormat="1" ht="21.95" customHeight="1">
      <c r="A57" s="154"/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</row>
    <row r="58" spans="1:67" s="6" customFormat="1" ht="21.95" customHeight="1">
      <c r="A58" s="15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</row>
    <row r="59" spans="1:67" s="6" customFormat="1" ht="21.95" customHeight="1">
      <c r="A59" s="15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</row>
    <row r="60" spans="1:67" s="6" customFormat="1" ht="21.95" customHeight="1">
      <c r="A60" s="15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</row>
    <row r="61" spans="1:67" s="6" customFormat="1" ht="21.95" customHeight="1">
      <c r="A61" s="15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</row>
    <row r="62" spans="1:67" ht="21.95" customHeight="1"/>
    <row r="63" spans="1:67" ht="21.95" customHeight="1"/>
    <row r="64" spans="1:67" ht="21.95" customHeight="1"/>
    <row r="65" spans="1:67" s="6" customFormat="1" ht="21.95" customHeight="1">
      <c r="A65" s="15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1:67" ht="21.95" customHeight="1"/>
    <row r="67" spans="1:67" ht="21.95" customHeight="1"/>
    <row r="68" spans="1:67" ht="21.95" customHeight="1"/>
    <row r="69" spans="1:67" ht="21.95" customHeight="1"/>
    <row r="70" spans="1:67" s="21" customFormat="1" ht="21.95" customHeight="1">
      <c r="A70" s="154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</row>
    <row r="71" spans="1:67" s="5" customFormat="1" ht="21.95" customHeight="1">
      <c r="A71" s="15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</row>
    <row r="72" spans="1:67" ht="21.95" customHeight="1"/>
    <row r="73" spans="1:67" ht="21.95" customHeight="1"/>
    <row r="74" spans="1:67" ht="21.95" customHeight="1"/>
    <row r="75" spans="1:67" ht="21.95" customHeight="1"/>
    <row r="76" spans="1:67" ht="21.95" customHeight="1"/>
    <row r="77" spans="1:67" ht="21.95" customHeight="1"/>
    <row r="78" spans="1:67" ht="21.95" customHeight="1"/>
    <row r="79" spans="1:67" ht="21.95" customHeight="1"/>
    <row r="80" spans="1:67" ht="21.95" customHeight="1"/>
    <row r="81" ht="21.95" customHeight="1"/>
    <row r="82" ht="21.95" customHeight="1"/>
    <row r="83" ht="21.95" customHeight="1"/>
    <row r="84" ht="21.95" customHeight="1"/>
    <row r="85" ht="23.1" customHeight="1"/>
    <row r="86" ht="23.1" customHeight="1"/>
    <row r="87" ht="23.1" customHeight="1"/>
    <row r="88" ht="23.1" customHeight="1"/>
    <row r="89" ht="23.1" customHeight="1"/>
    <row r="90" ht="23.1" customHeight="1"/>
    <row r="91" ht="23.1" customHeight="1"/>
  </sheetData>
  <sheetProtection algorithmName="SHA-512" hashValue="jVzroYPjhacsKZdp/jOTpzXr4MnMw2i63V+0p+2JexViPR+qhIiYzSbsGqfJ9yS+XtjDQ051EYCp0TsLagBvew==" saltValue="k/XImW6RRpNWfF7TIn0qOQ==" spinCount="100000" sheet="1" objects="1" scenarios="1" selectLockedCells="1"/>
  <mergeCells count="3">
    <mergeCell ref="F4:G4"/>
    <mergeCell ref="I4:J4"/>
    <mergeCell ref="L4:M4"/>
  </mergeCells>
  <hyperlinks>
    <hyperlink ref="A4" location="Inicio!A1" display="Início"/>
    <hyperlink ref="A6" location="'Aliquota de Impostos'!A1" display="  2. Aliquota de Imposto"/>
    <hyperlink ref="A7" location="Resultados!A1" display="  3. Resultados"/>
    <hyperlink ref="A5" location="'Entrada de Dados'!A1" display="  1. Entrada de Dados"/>
    <hyperlink ref="A10" location="'Sobre a Capital Social'!A1" display="  Sobre a Capital Social"/>
  </hyperlinks>
  <pageMargins left="0.74803149606299213" right="0.74803149606299213" top="0.98425196850393704" bottom="0.98425196850393704" header="0.51181102362204722" footer="0.51181102362204722"/>
  <pageSetup paperSize="9" scale="59" orientation="landscape" verticalDpi="0" r:id="rId1"/>
  <headerFooter>
    <oddFooter>&amp;C&amp;"Arial,Negrito"&amp;11Obs:&amp;"Arial,Normal" As informações servem para orientação geral, e não significam aconselhamento. Cálculos simplificados estão sujeitas a erros/imprecisões. Não nos responsabilizamos pelo uso das informações. Consulte seu contador.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P44"/>
  <sheetViews>
    <sheetView showGridLines="0" zoomScale="90" zoomScaleNormal="90" workbookViewId="0">
      <selection activeCell="E21" sqref="E21"/>
    </sheetView>
  </sheetViews>
  <sheetFormatPr defaultRowHeight="15"/>
  <cols>
    <col min="1" max="1" width="26.5703125" style="154" customWidth="1"/>
    <col min="2" max="2" width="4.42578125" style="26" customWidth="1"/>
    <col min="3" max="10" width="20.5703125" style="26" customWidth="1"/>
    <col min="11" max="16384" width="9.140625" style="26"/>
  </cols>
  <sheetData>
    <row r="1" spans="1:16" ht="40.5" customHeight="1">
      <c r="A1" s="150"/>
      <c r="B1" s="29"/>
      <c r="C1" s="30" t="s">
        <v>141</v>
      </c>
      <c r="D1" s="30"/>
      <c r="E1" s="30"/>
      <c r="F1" s="30"/>
      <c r="G1" s="30"/>
      <c r="H1" s="30"/>
      <c r="I1" s="30"/>
      <c r="J1" s="30"/>
      <c r="K1" s="30"/>
      <c r="L1" s="30"/>
    </row>
    <row r="2" spans="1:16" ht="8.25" customHeight="1">
      <c r="A2" s="15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6" ht="21" customHeight="1">
      <c r="A3" s="158" t="s">
        <v>3</v>
      </c>
      <c r="B3" s="159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6" ht="9.9499999999999993" customHeight="1">
      <c r="A4" s="160"/>
      <c r="B4" s="159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16" ht="21" customHeight="1">
      <c r="A5" s="161" t="s">
        <v>4</v>
      </c>
      <c r="B5" s="159"/>
      <c r="C5" s="104"/>
      <c r="D5" s="104"/>
      <c r="E5" s="104"/>
      <c r="F5" s="104"/>
      <c r="G5" s="104"/>
      <c r="H5" s="104"/>
      <c r="I5" s="104"/>
      <c r="J5" s="104"/>
      <c r="K5" s="104"/>
      <c r="L5" s="104"/>
    </row>
    <row r="6" spans="1:16" ht="21" customHeight="1">
      <c r="A6" s="162" t="s">
        <v>5</v>
      </c>
      <c r="B6" s="159"/>
      <c r="C6" s="104"/>
      <c r="D6" s="104"/>
      <c r="E6" s="104"/>
      <c r="F6" s="104"/>
      <c r="G6" s="104"/>
      <c r="H6" s="104"/>
      <c r="I6" s="104"/>
      <c r="J6" s="104"/>
      <c r="K6" s="104"/>
      <c r="L6" s="104"/>
    </row>
    <row r="7" spans="1:16" ht="21" customHeight="1">
      <c r="A7" s="162" t="s">
        <v>51</v>
      </c>
      <c r="B7" s="159"/>
      <c r="C7" s="104"/>
      <c r="D7" s="104"/>
      <c r="E7" s="104"/>
      <c r="F7" s="104"/>
      <c r="G7" s="104"/>
      <c r="H7" s="104"/>
      <c r="I7" s="104"/>
      <c r="J7" s="104"/>
      <c r="K7" s="104"/>
      <c r="L7" s="104"/>
    </row>
    <row r="8" spans="1:16" ht="21" customHeight="1">
      <c r="A8" s="162" t="s">
        <v>52</v>
      </c>
      <c r="B8" s="159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6" ht="21" customHeight="1">
      <c r="A9" s="162"/>
      <c r="B9" s="159"/>
      <c r="C9" s="104"/>
      <c r="D9" s="104"/>
      <c r="E9" s="104"/>
      <c r="F9" s="104"/>
      <c r="G9" s="104"/>
      <c r="H9" s="104"/>
      <c r="I9" s="104"/>
      <c r="J9" s="104"/>
      <c r="K9" s="104"/>
      <c r="L9" s="104"/>
    </row>
    <row r="10" spans="1:16" ht="21" customHeight="1">
      <c r="A10" s="156"/>
      <c r="B10" s="157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16" ht="21" customHeight="1">
      <c r="A11" s="103" t="s">
        <v>140</v>
      </c>
      <c r="B11" s="157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P11" s="31"/>
    </row>
    <row r="12" spans="1:16" ht="21" customHeight="1">
      <c r="A12" s="156"/>
      <c r="B12" s="157"/>
      <c r="C12" s="104"/>
      <c r="D12" s="104"/>
      <c r="E12" s="104"/>
      <c r="F12" s="104"/>
      <c r="G12" s="104"/>
      <c r="H12" s="104"/>
      <c r="I12" s="104"/>
      <c r="J12" s="104"/>
      <c r="K12" s="104"/>
      <c r="L12" s="104"/>
    </row>
    <row r="13" spans="1:16" ht="21" customHeight="1">
      <c r="A13" s="151"/>
      <c r="B13" s="173"/>
      <c r="C13" s="104"/>
      <c r="D13" s="104"/>
      <c r="E13" s="104"/>
      <c r="F13" s="104"/>
      <c r="G13" s="104"/>
      <c r="H13" s="104"/>
      <c r="I13" s="104"/>
      <c r="J13" s="104"/>
      <c r="K13" s="104"/>
      <c r="L13" s="104"/>
    </row>
    <row r="14" spans="1:16" ht="21" customHeight="1">
      <c r="A14" s="174"/>
      <c r="B14" s="173"/>
      <c r="C14" s="104"/>
      <c r="D14" s="104"/>
      <c r="E14" s="104"/>
      <c r="F14" s="104"/>
      <c r="G14" s="104"/>
      <c r="H14" s="104"/>
      <c r="I14" s="104"/>
      <c r="J14" s="104"/>
      <c r="K14" s="104"/>
      <c r="L14" s="104"/>
    </row>
    <row r="15" spans="1:16" ht="21" customHeight="1">
      <c r="A15" s="174"/>
      <c r="B15" s="173"/>
      <c r="C15" s="104"/>
      <c r="D15" s="104"/>
      <c r="E15" s="104"/>
      <c r="F15" s="104"/>
      <c r="G15" s="104"/>
      <c r="H15" s="104"/>
      <c r="I15" s="104"/>
      <c r="J15" s="104"/>
      <c r="K15" s="104"/>
      <c r="L15" s="104"/>
    </row>
    <row r="16" spans="1:16" ht="21" customHeight="1">
      <c r="A16" s="174"/>
      <c r="B16" s="173"/>
      <c r="C16" s="104"/>
      <c r="D16" s="104"/>
      <c r="E16" s="104"/>
      <c r="F16" s="104"/>
      <c r="G16" s="104"/>
      <c r="H16" s="104"/>
      <c r="I16" s="104"/>
      <c r="J16" s="104"/>
      <c r="K16" s="104"/>
      <c r="L16" s="104"/>
    </row>
    <row r="17" spans="1:12" ht="21" customHeight="1">
      <c r="A17" s="174"/>
      <c r="B17" s="173"/>
      <c r="C17" s="104"/>
      <c r="D17" s="104"/>
      <c r="E17" s="104"/>
      <c r="F17" s="104"/>
      <c r="G17" s="104"/>
      <c r="H17" s="104"/>
      <c r="I17" s="104"/>
      <c r="J17" s="104"/>
      <c r="K17" s="104"/>
      <c r="L17" s="104"/>
    </row>
    <row r="18" spans="1:12" ht="21" customHeight="1">
      <c r="A18" s="174"/>
      <c r="B18" s="173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2" ht="21" customHeight="1">
      <c r="A19" s="174"/>
      <c r="B19" s="173"/>
      <c r="C19" s="104"/>
      <c r="D19" s="104"/>
      <c r="E19" s="104"/>
      <c r="F19" s="104"/>
      <c r="G19" s="104"/>
      <c r="H19" s="104"/>
      <c r="I19" s="104"/>
      <c r="J19" s="104"/>
      <c r="K19" s="104"/>
      <c r="L19" s="104"/>
    </row>
    <row r="20" spans="1:12" ht="21" customHeight="1">
      <c r="A20" s="174"/>
      <c r="B20" s="175"/>
    </row>
    <row r="21" spans="1:12" ht="21" customHeight="1">
      <c r="A21" s="174"/>
      <c r="B21" s="175"/>
    </row>
    <row r="22" spans="1:12" ht="21" customHeight="1">
      <c r="A22" s="174"/>
      <c r="B22" s="175"/>
    </row>
    <row r="23" spans="1:12" ht="21" customHeight="1">
      <c r="A23" s="174"/>
      <c r="B23" s="175"/>
    </row>
    <row r="24" spans="1:12" ht="21" customHeight="1">
      <c r="A24" s="153"/>
    </row>
    <row r="25" spans="1:12" ht="21" customHeight="1">
      <c r="A25" s="153"/>
    </row>
    <row r="26" spans="1:12" ht="21" customHeight="1">
      <c r="A26" s="153"/>
    </row>
    <row r="27" spans="1:12" ht="21" customHeight="1">
      <c r="A27" s="153"/>
    </row>
    <row r="28" spans="1:12" ht="21" customHeight="1">
      <c r="A28" s="153"/>
    </row>
    <row r="29" spans="1:12" ht="21" customHeight="1"/>
    <row r="30" spans="1:12" ht="21" customHeight="1"/>
    <row r="31" spans="1:12" ht="21" customHeight="1"/>
    <row r="32" spans="1:1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hyperlinks>
    <hyperlink ref="A5" location="Inicio!A1" display="Início"/>
    <hyperlink ref="A7" location="'Aliquota de Impostos'!A1" display="  2. Aliquota de Imposto"/>
    <hyperlink ref="A8" location="Resultados!A1" display="  3. Resultados"/>
    <hyperlink ref="A6" location="'Entrada de Dados'!A1" display="  1. Entrada de Dados"/>
    <hyperlink ref="A11" location="'Sobre a Capital Social'!A1" display="  Sobre a Capital Social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showGridLines="0" workbookViewId="0">
      <selection activeCell="C2" sqref="C2"/>
    </sheetView>
  </sheetViews>
  <sheetFormatPr defaultColWidth="14.42578125" defaultRowHeight="15" customHeight="1"/>
  <cols>
    <col min="1" max="1" width="26.5703125" style="184" customWidth="1"/>
    <col min="2" max="2" width="6.42578125" style="108" customWidth="1"/>
    <col min="3" max="3" width="19.28515625" style="108" customWidth="1"/>
    <col min="4" max="4" width="32.85546875" style="108" bestFit="1" customWidth="1"/>
    <col min="5" max="5" width="15.7109375" style="108" customWidth="1"/>
    <col min="6" max="6" width="16.140625" style="108" customWidth="1"/>
    <col min="7" max="7" width="16" style="108" customWidth="1"/>
    <col min="8" max="8" width="10.42578125" style="108" customWidth="1"/>
    <col min="9" max="9" width="13.5703125" style="108" customWidth="1"/>
    <col min="10" max="11" width="12.5703125" style="108" customWidth="1"/>
    <col min="12" max="12" width="11.28515625" style="108" bestFit="1" customWidth="1"/>
    <col min="13" max="14" width="9.28515625" style="108" customWidth="1"/>
    <col min="15" max="15" width="11.5703125" style="108" customWidth="1"/>
    <col min="16" max="16" width="7.140625" style="108" customWidth="1"/>
    <col min="17" max="26" width="8.7109375" style="108" customWidth="1"/>
    <col min="27" max="16384" width="14.42578125" style="108"/>
  </cols>
  <sheetData>
    <row r="1" spans="1:26" ht="51.75" customHeight="1" thickBot="1">
      <c r="A1" s="176"/>
      <c r="B1" s="106"/>
      <c r="C1" s="215" t="s">
        <v>146</v>
      </c>
      <c r="D1" s="216"/>
      <c r="E1" s="216"/>
      <c r="F1" s="216"/>
      <c r="G1" s="216"/>
      <c r="H1" s="216"/>
      <c r="I1" s="216"/>
      <c r="J1" s="216"/>
      <c r="K1" s="216"/>
      <c r="L1" s="216"/>
      <c r="M1" s="217"/>
      <c r="N1" s="216"/>
      <c r="O1" s="216"/>
      <c r="P1" s="216"/>
      <c r="Q1" s="216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5.75" thickTop="1">
      <c r="A2" s="177"/>
      <c r="B2" s="106"/>
    </row>
    <row r="3" spans="1:26" ht="16.5">
      <c r="A3" s="178"/>
      <c r="B3" s="109"/>
      <c r="C3" s="218"/>
      <c r="D3" s="220" t="s">
        <v>117</v>
      </c>
      <c r="E3" s="218" t="s">
        <v>118</v>
      </c>
      <c r="F3" s="212" t="s">
        <v>119</v>
      </c>
      <c r="G3" s="213"/>
      <c r="H3" s="213"/>
      <c r="I3" s="213"/>
      <c r="J3" s="213"/>
      <c r="K3" s="214"/>
      <c r="L3" s="110"/>
      <c r="M3" s="110"/>
      <c r="N3" s="110"/>
    </row>
    <row r="4" spans="1:26" ht="16.5">
      <c r="A4" s="178"/>
      <c r="B4" s="111"/>
      <c r="C4" s="219"/>
      <c r="D4" s="219"/>
      <c r="E4" s="219"/>
      <c r="F4" s="185" t="s">
        <v>28</v>
      </c>
      <c r="G4" s="186" t="s">
        <v>30</v>
      </c>
      <c r="H4" s="186" t="s">
        <v>47</v>
      </c>
      <c r="I4" s="186" t="s">
        <v>48</v>
      </c>
      <c r="J4" s="186" t="s">
        <v>22</v>
      </c>
      <c r="K4" s="187" t="s">
        <v>20</v>
      </c>
      <c r="L4" s="110"/>
      <c r="M4" s="110"/>
      <c r="N4" s="110"/>
    </row>
    <row r="5" spans="1:26" ht="38.25" customHeight="1">
      <c r="A5" s="179"/>
      <c r="B5" s="112"/>
      <c r="C5" s="189" t="s">
        <v>120</v>
      </c>
      <c r="D5" s="191">
        <f>'Entrada de Dados'!H12</f>
        <v>15000</v>
      </c>
      <c r="E5" s="190">
        <f>F17</f>
        <v>0.04</v>
      </c>
      <c r="F5" s="190">
        <f t="shared" ref="F5:K5" si="0">I20</f>
        <v>2.2000000000000001E-3</v>
      </c>
      <c r="G5" s="190">
        <f t="shared" si="0"/>
        <v>1.4E-3</v>
      </c>
      <c r="H5" s="190">
        <f t="shared" si="0"/>
        <v>5.1000000000000004E-3</v>
      </c>
      <c r="I5" s="190">
        <f t="shared" si="0"/>
        <v>1.1000000000000001E-3</v>
      </c>
      <c r="J5" s="190">
        <f t="shared" si="0"/>
        <v>1.66E-2</v>
      </c>
      <c r="K5" s="190">
        <f t="shared" si="0"/>
        <v>1.3599999999999999E-2</v>
      </c>
      <c r="L5" s="110"/>
      <c r="M5" s="110"/>
      <c r="N5" s="110"/>
      <c r="O5" s="113"/>
    </row>
    <row r="6" spans="1:26" ht="18" customHeight="1">
      <c r="A6" s="180"/>
      <c r="B6" s="114"/>
      <c r="O6" s="113"/>
    </row>
    <row r="7" spans="1:26" ht="18" customHeight="1">
      <c r="A7" s="181"/>
      <c r="B7" s="114"/>
      <c r="C7" s="110"/>
      <c r="D7" s="110"/>
      <c r="E7" s="110"/>
      <c r="F7" s="110"/>
      <c r="G7" s="110"/>
      <c r="H7" s="110"/>
      <c r="I7" s="212" t="s">
        <v>121</v>
      </c>
      <c r="J7" s="213"/>
      <c r="K7" s="213"/>
      <c r="L7" s="213"/>
      <c r="M7" s="213"/>
      <c r="N7" s="214"/>
    </row>
    <row r="8" spans="1:26" ht="18" customHeight="1">
      <c r="A8" s="182"/>
      <c r="B8" s="114"/>
      <c r="C8" s="188"/>
      <c r="D8" s="188" t="s">
        <v>122</v>
      </c>
      <c r="E8" s="188" t="s">
        <v>123</v>
      </c>
      <c r="F8" s="188" t="s">
        <v>124</v>
      </c>
      <c r="G8" s="188" t="s">
        <v>125</v>
      </c>
      <c r="H8" s="110"/>
      <c r="I8" s="186" t="s">
        <v>28</v>
      </c>
      <c r="J8" s="186" t="s">
        <v>30</v>
      </c>
      <c r="K8" s="186" t="s">
        <v>47</v>
      </c>
      <c r="L8" s="186" t="s">
        <v>48</v>
      </c>
      <c r="M8" s="186" t="s">
        <v>22</v>
      </c>
      <c r="N8" s="186" t="s">
        <v>20</v>
      </c>
    </row>
    <row r="9" spans="1:26" ht="18" customHeight="1">
      <c r="A9" s="182"/>
      <c r="B9" s="114"/>
      <c r="C9" s="192" t="s">
        <v>126</v>
      </c>
      <c r="D9" s="193">
        <v>0</v>
      </c>
      <c r="E9" s="193">
        <v>180000</v>
      </c>
      <c r="F9" s="194">
        <v>0.04</v>
      </c>
      <c r="G9" s="193">
        <v>0</v>
      </c>
      <c r="H9" s="115"/>
      <c r="I9" s="194">
        <v>5.5E-2</v>
      </c>
      <c r="J9" s="194">
        <v>3.5000000000000003E-2</v>
      </c>
      <c r="K9" s="194">
        <v>0.12740000000000001</v>
      </c>
      <c r="L9" s="194">
        <v>2.76E-2</v>
      </c>
      <c r="M9" s="194">
        <v>0.41499999999999998</v>
      </c>
      <c r="N9" s="194">
        <v>0.34</v>
      </c>
    </row>
    <row r="10" spans="1:26" ht="18" customHeight="1">
      <c r="A10" s="182"/>
      <c r="B10" s="114"/>
      <c r="C10" s="195" t="s">
        <v>127</v>
      </c>
      <c r="D10" s="196">
        <v>180000.01</v>
      </c>
      <c r="E10" s="196">
        <v>360000</v>
      </c>
      <c r="F10" s="197">
        <v>7.2999999999999995E-2</v>
      </c>
      <c r="G10" s="196">
        <v>5940</v>
      </c>
      <c r="H10" s="115"/>
      <c r="I10" s="197">
        <v>5.5E-2</v>
      </c>
      <c r="J10" s="197">
        <v>3.5000000000000003E-2</v>
      </c>
      <c r="K10" s="197">
        <v>0.12740000000000001</v>
      </c>
      <c r="L10" s="197">
        <v>2.76E-2</v>
      </c>
      <c r="M10" s="197">
        <v>0.41499999999999998</v>
      </c>
      <c r="N10" s="197">
        <v>0.34</v>
      </c>
    </row>
    <row r="11" spans="1:26" ht="18" customHeight="1">
      <c r="A11" s="182"/>
      <c r="B11" s="116"/>
      <c r="C11" s="192" t="s">
        <v>128</v>
      </c>
      <c r="D11" s="193">
        <v>360000.01</v>
      </c>
      <c r="E11" s="193">
        <v>720000</v>
      </c>
      <c r="F11" s="194">
        <v>9.5000000000000001E-2</v>
      </c>
      <c r="G11" s="193">
        <v>13860</v>
      </c>
      <c r="H11" s="115"/>
      <c r="I11" s="194">
        <v>5.5E-2</v>
      </c>
      <c r="J11" s="194">
        <v>3.5000000000000003E-2</v>
      </c>
      <c r="K11" s="194">
        <v>0.12740000000000001</v>
      </c>
      <c r="L11" s="194">
        <v>2.76E-2</v>
      </c>
      <c r="M11" s="194">
        <v>0.42</v>
      </c>
      <c r="N11" s="194">
        <v>0.33500000000000002</v>
      </c>
    </row>
    <row r="12" spans="1:26" ht="18" customHeight="1">
      <c r="A12" s="183"/>
      <c r="B12" s="114"/>
      <c r="C12" s="195" t="s">
        <v>129</v>
      </c>
      <c r="D12" s="196">
        <v>720000.01</v>
      </c>
      <c r="E12" s="196">
        <v>1800000</v>
      </c>
      <c r="F12" s="197">
        <v>0.107</v>
      </c>
      <c r="G12" s="196">
        <v>22500</v>
      </c>
      <c r="H12" s="115"/>
      <c r="I12" s="197">
        <v>5.5E-2</v>
      </c>
      <c r="J12" s="197">
        <v>3.5000000000000003E-2</v>
      </c>
      <c r="K12" s="197">
        <v>0.12740000000000001</v>
      </c>
      <c r="L12" s="197">
        <v>2.76E-2</v>
      </c>
      <c r="M12" s="197">
        <v>0.42</v>
      </c>
      <c r="N12" s="197">
        <v>0.33500000000000002</v>
      </c>
    </row>
    <row r="13" spans="1:26" ht="18" customHeight="1">
      <c r="A13" s="182"/>
      <c r="B13" s="117"/>
      <c r="C13" s="192" t="s">
        <v>130</v>
      </c>
      <c r="D13" s="193">
        <v>1800000.01</v>
      </c>
      <c r="E13" s="193">
        <v>3600000</v>
      </c>
      <c r="F13" s="194">
        <v>0.14299999999999999</v>
      </c>
      <c r="G13" s="193">
        <v>87300</v>
      </c>
      <c r="H13" s="115"/>
      <c r="I13" s="194">
        <v>5.5E-2</v>
      </c>
      <c r="J13" s="194">
        <v>3.5000000000000003E-2</v>
      </c>
      <c r="K13" s="194">
        <v>0.12740000000000001</v>
      </c>
      <c r="L13" s="194">
        <v>2.76E-2</v>
      </c>
      <c r="M13" s="194">
        <v>0.42</v>
      </c>
      <c r="N13" s="194">
        <v>0.33500000000000002</v>
      </c>
    </row>
    <row r="14" spans="1:26" ht="18" customHeight="1">
      <c r="A14" s="183"/>
      <c r="B14" s="106"/>
      <c r="C14" s="195" t="s">
        <v>131</v>
      </c>
      <c r="D14" s="196">
        <v>3600000.01</v>
      </c>
      <c r="E14" s="196">
        <v>4800000</v>
      </c>
      <c r="F14" s="197">
        <v>0.19</v>
      </c>
      <c r="G14" s="196">
        <v>378000</v>
      </c>
      <c r="H14" s="115"/>
      <c r="I14" s="197">
        <v>0.13500000000000001</v>
      </c>
      <c r="J14" s="197">
        <v>0.1</v>
      </c>
      <c r="K14" s="197">
        <v>0.28270000000000001</v>
      </c>
      <c r="L14" s="197">
        <v>6.13E-2</v>
      </c>
      <c r="M14" s="197">
        <v>0.42099999999999999</v>
      </c>
      <c r="N14" s="197">
        <v>0</v>
      </c>
    </row>
    <row r="15" spans="1:26" ht="18" customHeight="1">
      <c r="A15" s="177"/>
      <c r="B15" s="106"/>
      <c r="C15" s="118"/>
      <c r="D15" s="119"/>
      <c r="E15" s="119"/>
    </row>
    <row r="16" spans="1:26" ht="18" hidden="1" customHeight="1">
      <c r="A16" s="177"/>
      <c r="B16" s="106"/>
      <c r="C16" s="118" t="s">
        <v>126</v>
      </c>
      <c r="D16" s="119">
        <f t="shared" ref="D16:D21" si="1">IF(AND($D$5&gt;=D9,$D$5&lt;=E9),($D$5*F9-G9)/$D$5)</f>
        <v>0.04</v>
      </c>
      <c r="E16" s="119">
        <f t="shared" ref="E16:E21" si="2">ROUND(D16,5)</f>
        <v>0.04</v>
      </c>
      <c r="F16" s="119">
        <f>IF(AND($D$5&gt;=D9,$D$5&lt;=E9),E16,IF(AND($D$5&gt;=D10,$D$5&lt;=E10),E17,IF(AND($D$5&gt;=D11,$D$5&lt;=E11),E18,IF(AND($D$5&gt;=D12,$D$5&lt;=E12),E19,IF(AND($D$5&gt;=D13,$D$5&lt;=E13),E20,IF(AND($D$5&gt;=D14,$D$5&lt;=E14),E21,IF(AND($D$5&gt;=#REF!,$D$5&lt;=#REF!),#REF!,IF(AND($D$5&gt;#REF!),E22))))))))</f>
        <v>0.04</v>
      </c>
      <c r="I16" s="120" t="s">
        <v>28</v>
      </c>
      <c r="J16" s="120" t="s">
        <v>30</v>
      </c>
      <c r="K16" s="120" t="s">
        <v>47</v>
      </c>
      <c r="L16" s="120" t="s">
        <v>48</v>
      </c>
      <c r="M16" s="120" t="s">
        <v>22</v>
      </c>
      <c r="N16" s="120" t="s">
        <v>20</v>
      </c>
    </row>
    <row r="17" spans="1:26" ht="18" hidden="1" customHeight="1">
      <c r="A17" s="177"/>
      <c r="B17" s="106"/>
      <c r="C17" s="118" t="s">
        <v>127</v>
      </c>
      <c r="D17" s="119" t="b">
        <f t="shared" si="1"/>
        <v>0</v>
      </c>
      <c r="E17" s="119">
        <f t="shared" si="2"/>
        <v>0</v>
      </c>
      <c r="F17" s="119">
        <f>ROUND(F16,4)</f>
        <v>0.04</v>
      </c>
      <c r="I17" s="121">
        <f>IF(AND($D$5&gt;=$D$9,$D$5&lt;=$E$9),$E$5*I9,IF(AND($D$5&gt;=$D$10,$D$5&lt;=$E$10),$E$5*I10,IF(AND($D$5&gt;=$D$11,$D$5&lt;=$E$11),$E$5*I11,IF(AND($D$5&gt;=$D$12,$D$5&lt;=$E$12),$E$5*I12,IF(AND($D$5&gt;=$D$13,$D$5&lt;=$E$13),$E$5*I13,IF(AND($D$5&gt;=$D$14,$D$5&lt;=$E$14),$E$5*I14,))))))</f>
        <v>2.2000000000000001E-3</v>
      </c>
      <c r="J17" s="121">
        <f t="shared" ref="J17:N17" si="3">IF(AND($D$5&gt;=$D$9,$D$5&lt;=$E$9),$E$5*J9,IF(AND($D$5&gt;=$D$10,$D$5&lt;=$E$10),$E$5*J10,IF(AND($D$5&gt;=$D$11,$D$5&lt;=$E$11),$E$5*J11,IF(AND($D$5&gt;=$D$12,$D$5&lt;=$E$12),$E$5*J12,IF(AND($D$5&gt;=$D$13,$D$5&lt;=$E$13),$E$5*J13,IF(AND($D$5&gt;=$D$14,$D$5&lt;=$E$14),$E$5*J14,IF(AND($D$5&gt;=#REF!,$D$5&lt;=#REF!),$E$5*#REF!,IF(AND($D$5&gt;#REF!),$E$5*#REF!))))))))</f>
        <v>1.4000000000000002E-3</v>
      </c>
      <c r="K17" s="121">
        <f t="shared" si="3"/>
        <v>5.0960000000000007E-3</v>
      </c>
      <c r="L17" s="121">
        <f t="shared" si="3"/>
        <v>1.1039999999999999E-3</v>
      </c>
      <c r="M17" s="121">
        <f t="shared" si="3"/>
        <v>1.66E-2</v>
      </c>
      <c r="N17" s="121">
        <f t="shared" si="3"/>
        <v>1.3600000000000001E-2</v>
      </c>
    </row>
    <row r="18" spans="1:26" ht="18" hidden="1" customHeight="1">
      <c r="A18" s="177"/>
      <c r="B18" s="106"/>
      <c r="C18" s="118" t="s">
        <v>128</v>
      </c>
      <c r="D18" s="119" t="b">
        <f t="shared" si="1"/>
        <v>0</v>
      </c>
      <c r="E18" s="119">
        <f t="shared" si="2"/>
        <v>0</v>
      </c>
      <c r="I18" s="122">
        <f t="shared" ref="I18:N18" si="4">ROUND(I17,4)</f>
        <v>2.2000000000000001E-3</v>
      </c>
      <c r="J18" s="122">
        <f t="shared" si="4"/>
        <v>1.4E-3</v>
      </c>
      <c r="K18" s="122">
        <f t="shared" si="4"/>
        <v>5.1000000000000004E-3</v>
      </c>
      <c r="L18" s="122">
        <f t="shared" si="4"/>
        <v>1.1000000000000001E-3</v>
      </c>
      <c r="M18" s="122">
        <f t="shared" si="4"/>
        <v>1.66E-2</v>
      </c>
      <c r="N18" s="122">
        <f t="shared" si="4"/>
        <v>1.3599999999999999E-2</v>
      </c>
      <c r="O18" s="119">
        <f t="shared" ref="O18:O19" si="5">SUM(I18:N18)</f>
        <v>0.04</v>
      </c>
      <c r="P18" s="119">
        <f>E5-O18</f>
        <v>0</v>
      </c>
    </row>
    <row r="19" spans="1:26" ht="18" hidden="1" customHeight="1">
      <c r="A19" s="177"/>
      <c r="B19" s="106"/>
      <c r="C19" s="118" t="s">
        <v>129</v>
      </c>
      <c r="D19" s="119" t="b">
        <f t="shared" si="1"/>
        <v>0</v>
      </c>
      <c r="E19" s="119">
        <f t="shared" si="2"/>
        <v>0</v>
      </c>
      <c r="I19" s="122">
        <f t="shared" ref="I19:N19" si="6">IF(I18=MAX($I$18:$N$18),(I18+$P$18),IF(I18&lt;&gt;MAX($I$18:$N$18),I18))</f>
        <v>2.2000000000000001E-3</v>
      </c>
      <c r="J19" s="122">
        <f t="shared" si="6"/>
        <v>1.4E-3</v>
      </c>
      <c r="K19" s="122">
        <f t="shared" si="6"/>
        <v>5.1000000000000004E-3</v>
      </c>
      <c r="L19" s="122">
        <f t="shared" si="6"/>
        <v>1.1000000000000001E-3</v>
      </c>
      <c r="M19" s="122">
        <f t="shared" si="6"/>
        <v>1.66E-2</v>
      </c>
      <c r="N19" s="122">
        <f t="shared" si="6"/>
        <v>1.3599999999999999E-2</v>
      </c>
      <c r="O19" s="123">
        <f t="shared" si="5"/>
        <v>0.04</v>
      </c>
    </row>
    <row r="20" spans="1:26" ht="18" hidden="1" customHeight="1">
      <c r="A20" s="177"/>
      <c r="B20" s="106"/>
      <c r="C20" s="118" t="s">
        <v>130</v>
      </c>
      <c r="D20" s="119" t="b">
        <f t="shared" si="1"/>
        <v>0</v>
      </c>
      <c r="E20" s="119">
        <f t="shared" si="2"/>
        <v>0</v>
      </c>
      <c r="I20" s="122">
        <f t="shared" ref="I20:N20" si="7">ROUND(I19,4)</f>
        <v>2.2000000000000001E-3</v>
      </c>
      <c r="J20" s="122">
        <f t="shared" si="7"/>
        <v>1.4E-3</v>
      </c>
      <c r="K20" s="122">
        <f t="shared" si="7"/>
        <v>5.1000000000000004E-3</v>
      </c>
      <c r="L20" s="122">
        <f t="shared" si="7"/>
        <v>1.1000000000000001E-3</v>
      </c>
      <c r="M20" s="122">
        <f t="shared" si="7"/>
        <v>1.66E-2</v>
      </c>
      <c r="N20" s="122">
        <f t="shared" si="7"/>
        <v>1.3599999999999999E-2</v>
      </c>
      <c r="O20" s="124" t="str">
        <f>IF(E5=O19,"OK")</f>
        <v>OK</v>
      </c>
    </row>
    <row r="21" spans="1:26" ht="18" hidden="1" customHeight="1">
      <c r="A21" s="177"/>
      <c r="B21" s="106"/>
      <c r="C21" s="118" t="s">
        <v>131</v>
      </c>
      <c r="D21" s="119" t="b">
        <f t="shared" si="1"/>
        <v>0</v>
      </c>
      <c r="E21" s="119">
        <f t="shared" si="2"/>
        <v>0</v>
      </c>
      <c r="I21" s="125">
        <f t="shared" ref="I21:N21" si="8">I20-I18</f>
        <v>0</v>
      </c>
      <c r="J21" s="125">
        <f t="shared" si="8"/>
        <v>0</v>
      </c>
      <c r="K21" s="125">
        <f t="shared" si="8"/>
        <v>0</v>
      </c>
      <c r="L21" s="125">
        <f t="shared" si="8"/>
        <v>0</v>
      </c>
      <c r="M21" s="125">
        <f t="shared" si="8"/>
        <v>0</v>
      </c>
      <c r="N21" s="125">
        <f t="shared" si="8"/>
        <v>0</v>
      </c>
    </row>
    <row r="22" spans="1:26" ht="18" hidden="1" customHeight="1">
      <c r="A22" s="177"/>
      <c r="B22" s="106"/>
      <c r="C22" s="118"/>
      <c r="D22" s="119"/>
      <c r="E22" s="119"/>
    </row>
    <row r="23" spans="1:26" ht="18" hidden="1" customHeight="1">
      <c r="A23" s="177"/>
      <c r="B23" s="106"/>
    </row>
    <row r="24" spans="1:26" ht="15.75" hidden="1" customHeight="1">
      <c r="A24" s="177"/>
      <c r="B24" s="106"/>
    </row>
    <row r="25" spans="1:26" ht="18" hidden="1" customHeight="1">
      <c r="A25" s="177"/>
      <c r="B25" s="10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spans="1:26" ht="18" hidden="1" customHeight="1">
      <c r="A26" s="177"/>
      <c r="B26" s="10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spans="1:26" ht="18" hidden="1" customHeight="1">
      <c r="A27" s="177"/>
      <c r="B27" s="10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  <row r="28" spans="1:26" ht="18" hidden="1" customHeight="1">
      <c r="A28" s="177"/>
      <c r="B28" s="10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</row>
    <row r="29" spans="1:26" ht="18" hidden="1" customHeight="1">
      <c r="A29" s="177"/>
      <c r="B29" s="10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  <row r="30" spans="1:26" ht="18" hidden="1" customHeight="1">
      <c r="A30" s="177"/>
      <c r="B30" s="10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</row>
    <row r="31" spans="1:26" ht="18" hidden="1" customHeight="1">
      <c r="A31" s="177"/>
      <c r="B31" s="10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</row>
    <row r="32" spans="1:26" ht="18" hidden="1" customHeight="1">
      <c r="A32" s="177"/>
      <c r="B32" s="10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</row>
    <row r="33" spans="1:26" ht="18" hidden="1" customHeight="1">
      <c r="A33" s="177"/>
      <c r="B33" s="10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</row>
    <row r="34" spans="1:26" ht="18" hidden="1" customHeight="1">
      <c r="A34" s="177"/>
      <c r="B34" s="10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</row>
    <row r="35" spans="1:26" ht="18" hidden="1" customHeight="1">
      <c r="A35" s="177"/>
      <c r="B35" s="10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spans="1:26" ht="30" hidden="1" customHeight="1">
      <c r="A36" s="177"/>
      <c r="B36" s="106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</row>
    <row r="37" spans="1:26" ht="18" customHeight="1">
      <c r="A37" s="177"/>
      <c r="B37" s="106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</row>
    <row r="38" spans="1:26" ht="15.75" customHeight="1">
      <c r="A38" s="177"/>
      <c r="B38" s="106"/>
    </row>
    <row r="39" spans="1:26" ht="15.75" customHeight="1">
      <c r="A39" s="177"/>
      <c r="B39" s="106"/>
    </row>
    <row r="40" spans="1:26" ht="15.75" customHeight="1">
      <c r="A40" s="177"/>
      <c r="B40" s="106"/>
    </row>
    <row r="41" spans="1:26" ht="15.75" customHeight="1">
      <c r="A41" s="177"/>
      <c r="B41" s="106"/>
    </row>
    <row r="42" spans="1:26" ht="15.75" customHeight="1">
      <c r="A42" s="177"/>
      <c r="B42" s="106"/>
    </row>
    <row r="43" spans="1:26" ht="15.75" customHeight="1">
      <c r="A43" s="177"/>
      <c r="B43" s="106"/>
    </row>
    <row r="44" spans="1:26" ht="15.75" customHeight="1">
      <c r="A44" s="177"/>
      <c r="B44" s="106"/>
    </row>
  </sheetData>
  <sheetProtection algorithmName="SHA-512" hashValue="OFzQoLWn+JD1FmUZclhF3JRqe1Go7LpE2WO0VPiIqyNi/rAZoXLPsp7VC6q/6jyrtrmsV95wV0+FMie+iLrJpw==" saltValue="+FXzy+H7pzBrycvIszn5sg==" spinCount="100000" sheet="1" objects="1" scenarios="1" selectLockedCells="1"/>
  <mergeCells count="7">
    <mergeCell ref="I7:N7"/>
    <mergeCell ref="C1:L1"/>
    <mergeCell ref="M1:Q1"/>
    <mergeCell ref="C3:C4"/>
    <mergeCell ref="D3:D4"/>
    <mergeCell ref="E3:E4"/>
    <mergeCell ref="F3:K3"/>
  </mergeCells>
  <conditionalFormatting sqref="I21:N21">
    <cfRule type="expression" dxfId="19" priority="1">
      <formula>"SE+$G$19&lt;&gt;0"</formula>
    </cfRule>
  </conditionalFormatting>
  <conditionalFormatting sqref="I21:N21">
    <cfRule type="cellIs" dxfId="18" priority="2" operator="notEqual">
      <formula>0</formula>
    </cfRule>
  </conditionalFormatting>
  <conditionalFormatting sqref="I21:N21">
    <cfRule type="cellIs" dxfId="17" priority="3" operator="lessThan">
      <formula>0</formula>
    </cfRule>
  </conditionalFormatting>
  <conditionalFormatting sqref="I21:N21">
    <cfRule type="cellIs" dxfId="16" priority="4" operator="greaterThan">
      <formula>0</formula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workbookViewId="0">
      <selection activeCell="C2" sqref="C2"/>
    </sheetView>
  </sheetViews>
  <sheetFormatPr defaultColWidth="14.42578125" defaultRowHeight="15" customHeight="1"/>
  <cols>
    <col min="1" max="1" width="26.5703125" style="184" customWidth="1"/>
    <col min="2" max="2" width="6.42578125" style="108" customWidth="1"/>
    <col min="3" max="3" width="21.85546875" style="108" customWidth="1"/>
    <col min="4" max="4" width="32.85546875" style="108" bestFit="1" customWidth="1"/>
    <col min="5" max="7" width="15.7109375" style="108" customWidth="1"/>
    <col min="8" max="8" width="11.42578125" style="108" customWidth="1"/>
    <col min="9" max="9" width="13.7109375" style="108" customWidth="1"/>
    <col min="10" max="12" width="11.42578125" style="108" customWidth="1"/>
    <col min="13" max="15" width="9.5703125" style="108" customWidth="1"/>
    <col min="16" max="16" width="8.7109375" style="108" customWidth="1"/>
    <col min="17" max="17" width="18.7109375" style="108" hidden="1" customWidth="1"/>
    <col min="18" max="26" width="8.7109375" style="108" hidden="1" customWidth="1"/>
    <col min="27" max="16384" width="14.42578125" style="108"/>
  </cols>
  <sheetData>
    <row r="1" spans="1:26" ht="51.75" customHeight="1" thickBot="1">
      <c r="A1" s="176"/>
      <c r="B1" s="106"/>
      <c r="C1" s="215" t="s">
        <v>145</v>
      </c>
      <c r="D1" s="216"/>
      <c r="E1" s="216"/>
      <c r="F1" s="216"/>
      <c r="G1" s="216"/>
      <c r="H1" s="216"/>
      <c r="I1" s="216"/>
      <c r="J1" s="216"/>
      <c r="K1" s="216"/>
      <c r="L1" s="216"/>
      <c r="M1" s="217"/>
      <c r="N1" s="216"/>
      <c r="O1" s="216"/>
      <c r="P1" s="216"/>
      <c r="Q1" s="216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5.75" thickTop="1">
      <c r="A2" s="177"/>
      <c r="B2" s="106"/>
    </row>
    <row r="3" spans="1:26" ht="15.75" customHeight="1">
      <c r="A3" s="178"/>
      <c r="B3" s="128"/>
      <c r="C3" s="218"/>
      <c r="D3" s="220" t="s">
        <v>117</v>
      </c>
      <c r="E3" s="218" t="s">
        <v>118</v>
      </c>
      <c r="F3" s="221" t="s">
        <v>119</v>
      </c>
      <c r="G3" s="213"/>
      <c r="H3" s="213"/>
      <c r="I3" s="213"/>
      <c r="J3" s="213"/>
      <c r="K3" s="213"/>
      <c r="L3" s="222"/>
    </row>
    <row r="4" spans="1:26" ht="15.75">
      <c r="A4" s="178"/>
      <c r="B4" s="129"/>
      <c r="C4" s="219"/>
      <c r="D4" s="219"/>
      <c r="E4" s="219"/>
      <c r="F4" s="185" t="s">
        <v>28</v>
      </c>
      <c r="G4" s="186" t="s">
        <v>30</v>
      </c>
      <c r="H4" s="186" t="s">
        <v>47</v>
      </c>
      <c r="I4" s="186" t="s">
        <v>48</v>
      </c>
      <c r="J4" s="186" t="s">
        <v>22</v>
      </c>
      <c r="K4" s="187" t="s">
        <v>18</v>
      </c>
      <c r="L4" s="187" t="s">
        <v>20</v>
      </c>
    </row>
    <row r="5" spans="1:26" ht="25.5">
      <c r="A5" s="179"/>
      <c r="B5" s="112"/>
      <c r="C5" s="189" t="s">
        <v>132</v>
      </c>
      <c r="D5" s="191">
        <f>'Entrada de Dados'!H12</f>
        <v>15000</v>
      </c>
      <c r="E5" s="190">
        <f>F17</f>
        <v>4.4999999999999998E-2</v>
      </c>
      <c r="F5" s="190">
        <f t="shared" ref="F5:L5" si="0">I20</f>
        <v>2.5000000000000001E-3</v>
      </c>
      <c r="G5" s="190">
        <f t="shared" si="0"/>
        <v>1.6000000000000001E-3</v>
      </c>
      <c r="H5" s="190">
        <f t="shared" si="0"/>
        <v>5.1999999999999998E-3</v>
      </c>
      <c r="I5" s="190">
        <f t="shared" si="0"/>
        <v>1.1000000000000001E-3</v>
      </c>
      <c r="J5" s="190">
        <f t="shared" si="0"/>
        <v>1.6799999999999999E-2</v>
      </c>
      <c r="K5" s="190">
        <f t="shared" si="0"/>
        <v>3.3999999999999998E-3</v>
      </c>
      <c r="L5" s="190">
        <f t="shared" si="0"/>
        <v>1.44E-2</v>
      </c>
      <c r="O5" s="113"/>
    </row>
    <row r="6" spans="1:26" ht="18" customHeight="1">
      <c r="A6" s="180"/>
      <c r="B6" s="114"/>
      <c r="O6" s="113"/>
    </row>
    <row r="7" spans="1:26" ht="18" customHeight="1">
      <c r="A7" s="182"/>
      <c r="B7" s="114"/>
      <c r="I7" s="212" t="s">
        <v>121</v>
      </c>
      <c r="J7" s="213"/>
      <c r="K7" s="213"/>
      <c r="L7" s="213"/>
      <c r="M7" s="213"/>
      <c r="N7" s="214"/>
      <c r="O7" s="186"/>
    </row>
    <row r="8" spans="1:26" ht="18" customHeight="1">
      <c r="A8" s="181"/>
      <c r="B8" s="114"/>
      <c r="C8" s="188"/>
      <c r="D8" s="188" t="s">
        <v>122</v>
      </c>
      <c r="E8" s="188" t="s">
        <v>123</v>
      </c>
      <c r="F8" s="188" t="s">
        <v>124</v>
      </c>
      <c r="G8" s="188" t="s">
        <v>125</v>
      </c>
      <c r="I8" s="186" t="s">
        <v>28</v>
      </c>
      <c r="J8" s="186" t="s">
        <v>30</v>
      </c>
      <c r="K8" s="186" t="s">
        <v>47</v>
      </c>
      <c r="L8" s="186" t="s">
        <v>48</v>
      </c>
      <c r="M8" s="186" t="s">
        <v>22</v>
      </c>
      <c r="N8" s="186" t="s">
        <v>18</v>
      </c>
      <c r="O8" s="186" t="s">
        <v>20</v>
      </c>
    </row>
    <row r="9" spans="1:26" ht="18" customHeight="1" thickBot="1">
      <c r="A9" s="182"/>
      <c r="B9" s="114"/>
      <c r="C9" s="192" t="s">
        <v>126</v>
      </c>
      <c r="D9" s="193">
        <v>0</v>
      </c>
      <c r="E9" s="193">
        <v>180000</v>
      </c>
      <c r="F9" s="194">
        <v>4.4999999999999998E-2</v>
      </c>
      <c r="G9" s="193">
        <v>0</v>
      </c>
      <c r="H9" s="130"/>
      <c r="I9" s="194">
        <v>5.5E-2</v>
      </c>
      <c r="J9" s="194">
        <v>3.5000000000000003E-2</v>
      </c>
      <c r="K9" s="194">
        <v>0.11509999999999999</v>
      </c>
      <c r="L9" s="194">
        <v>2.4899999999999999E-2</v>
      </c>
      <c r="M9" s="194">
        <v>0.375</v>
      </c>
      <c r="N9" s="194">
        <v>7.4999999999999997E-2</v>
      </c>
      <c r="O9" s="194">
        <v>0.32</v>
      </c>
      <c r="R9" s="131">
        <v>5.5E-2</v>
      </c>
      <c r="S9" s="131">
        <v>3.5000000000000003E-2</v>
      </c>
      <c r="T9" s="131">
        <v>0.11509999999999999</v>
      </c>
      <c r="U9" s="131">
        <v>2.4899999999999999E-2</v>
      </c>
      <c r="V9" s="131">
        <v>0.375</v>
      </c>
      <c r="W9" s="131">
        <v>7.4999999999999997E-2</v>
      </c>
      <c r="X9" s="131">
        <v>0.32</v>
      </c>
    </row>
    <row r="10" spans="1:26" ht="18" customHeight="1" thickBot="1">
      <c r="A10" s="182"/>
      <c r="B10" s="114"/>
      <c r="C10" s="195" t="s">
        <v>127</v>
      </c>
      <c r="D10" s="196">
        <v>180000.01</v>
      </c>
      <c r="E10" s="196">
        <v>360000</v>
      </c>
      <c r="F10" s="197">
        <v>7.8E-2</v>
      </c>
      <c r="G10" s="196">
        <v>5940</v>
      </c>
      <c r="H10" s="130"/>
      <c r="I10" s="197">
        <v>5.5E-2</v>
      </c>
      <c r="J10" s="197">
        <v>3.5000000000000003E-2</v>
      </c>
      <c r="K10" s="197">
        <v>0.11509999999999999</v>
      </c>
      <c r="L10" s="197">
        <v>2.4899999999999999E-2</v>
      </c>
      <c r="M10" s="197">
        <v>0.375</v>
      </c>
      <c r="N10" s="197">
        <v>7.4999999999999997E-2</v>
      </c>
      <c r="O10" s="197">
        <v>0.32</v>
      </c>
      <c r="R10" s="131">
        <v>5.5E-2</v>
      </c>
      <c r="S10" s="131">
        <v>3.5000000000000003E-2</v>
      </c>
      <c r="T10" s="131">
        <v>0.11509999999999999</v>
      </c>
      <c r="U10" s="131">
        <v>2.4899999999999999E-2</v>
      </c>
      <c r="V10" s="131">
        <v>0.375</v>
      </c>
      <c r="W10" s="131">
        <v>7.4999999999999997E-2</v>
      </c>
      <c r="X10" s="131">
        <v>0.32</v>
      </c>
    </row>
    <row r="11" spans="1:26" ht="18" customHeight="1" thickBot="1">
      <c r="A11" s="182"/>
      <c r="B11" s="116"/>
      <c r="C11" s="192" t="s">
        <v>128</v>
      </c>
      <c r="D11" s="193">
        <v>360000.01</v>
      </c>
      <c r="E11" s="193">
        <v>720000</v>
      </c>
      <c r="F11" s="194">
        <v>0.1</v>
      </c>
      <c r="G11" s="193">
        <v>13860</v>
      </c>
      <c r="H11" s="130"/>
      <c r="I11" s="194">
        <v>5.5E-2</v>
      </c>
      <c r="J11" s="194">
        <v>3.5000000000000003E-2</v>
      </c>
      <c r="K11" s="194">
        <v>0.11509999999999999</v>
      </c>
      <c r="L11" s="194">
        <v>2.4899999999999999E-2</v>
      </c>
      <c r="M11" s="194">
        <v>0.375</v>
      </c>
      <c r="N11" s="194">
        <v>7.4999999999999997E-2</v>
      </c>
      <c r="O11" s="194">
        <v>0.32</v>
      </c>
      <c r="R11" s="131">
        <v>5.5E-2</v>
      </c>
      <c r="S11" s="131">
        <v>3.5000000000000003E-2</v>
      </c>
      <c r="T11" s="131">
        <v>0.11509999999999999</v>
      </c>
      <c r="U11" s="131">
        <v>2.4899999999999999E-2</v>
      </c>
      <c r="V11" s="131">
        <v>0.375</v>
      </c>
      <c r="W11" s="131">
        <v>7.4999999999999997E-2</v>
      </c>
      <c r="X11" s="131">
        <v>0.32</v>
      </c>
    </row>
    <row r="12" spans="1:26" ht="18" customHeight="1" thickBot="1">
      <c r="A12" s="183"/>
      <c r="B12" s="114"/>
      <c r="C12" s="195" t="s">
        <v>129</v>
      </c>
      <c r="D12" s="196">
        <v>720000.01</v>
      </c>
      <c r="E12" s="196">
        <v>1800000</v>
      </c>
      <c r="F12" s="197">
        <v>0.112</v>
      </c>
      <c r="G12" s="196">
        <v>22500</v>
      </c>
      <c r="H12" s="130"/>
      <c r="I12" s="197">
        <v>5.5E-2</v>
      </c>
      <c r="J12" s="197">
        <v>3.5000000000000003E-2</v>
      </c>
      <c r="K12" s="197">
        <v>0.11509999999999999</v>
      </c>
      <c r="L12" s="197">
        <v>2.4899999999999999E-2</v>
      </c>
      <c r="M12" s="197">
        <v>0.375</v>
      </c>
      <c r="N12" s="197">
        <v>7.4999999999999997E-2</v>
      </c>
      <c r="O12" s="197">
        <v>0.32</v>
      </c>
      <c r="R12" s="131">
        <v>5.5E-2</v>
      </c>
      <c r="S12" s="131">
        <v>3.5000000000000003E-2</v>
      </c>
      <c r="T12" s="131">
        <v>0.11509999999999999</v>
      </c>
      <c r="U12" s="131">
        <v>2.4899999999999999E-2</v>
      </c>
      <c r="V12" s="131">
        <v>0.375</v>
      </c>
      <c r="W12" s="131">
        <v>7.4999999999999997E-2</v>
      </c>
      <c r="X12" s="131">
        <v>0.32</v>
      </c>
    </row>
    <row r="13" spans="1:26" ht="18" customHeight="1" thickBot="1">
      <c r="A13" s="182"/>
      <c r="B13" s="117"/>
      <c r="C13" s="192" t="s">
        <v>130</v>
      </c>
      <c r="D13" s="193">
        <v>1800000.01</v>
      </c>
      <c r="E13" s="193">
        <v>3600000</v>
      </c>
      <c r="F13" s="194">
        <v>0.14699999999999999</v>
      </c>
      <c r="G13" s="193">
        <v>85500</v>
      </c>
      <c r="H13" s="130"/>
      <c r="I13" s="194">
        <v>5.5E-2</v>
      </c>
      <c r="J13" s="194">
        <v>3.5000000000000003E-2</v>
      </c>
      <c r="K13" s="194">
        <v>0.11509999999999999</v>
      </c>
      <c r="L13" s="194">
        <v>2.4899999999999999E-2</v>
      </c>
      <c r="M13" s="194">
        <v>0.375</v>
      </c>
      <c r="N13" s="194">
        <v>7.4999999999999997E-2</v>
      </c>
      <c r="O13" s="194">
        <v>0.32</v>
      </c>
      <c r="R13" s="131">
        <v>5.5E-2</v>
      </c>
      <c r="S13" s="131">
        <v>3.5000000000000003E-2</v>
      </c>
      <c r="T13" s="131">
        <v>0.11509999999999999</v>
      </c>
      <c r="U13" s="131">
        <v>2.4899999999999999E-2</v>
      </c>
      <c r="V13" s="131">
        <v>0.375</v>
      </c>
      <c r="W13" s="131">
        <v>7.4999999999999997E-2</v>
      </c>
      <c r="X13" s="131">
        <v>0.32</v>
      </c>
    </row>
    <row r="14" spans="1:26" ht="18" customHeight="1" thickBot="1">
      <c r="A14" s="183"/>
      <c r="B14" s="106"/>
      <c r="C14" s="195" t="s">
        <v>131</v>
      </c>
      <c r="D14" s="196">
        <v>3600000.01</v>
      </c>
      <c r="E14" s="196">
        <v>4800000</v>
      </c>
      <c r="F14" s="197">
        <v>0.3</v>
      </c>
      <c r="G14" s="196">
        <v>720000</v>
      </c>
      <c r="H14" s="130"/>
      <c r="I14" s="197">
        <v>8.5000000000000006E-2</v>
      </c>
      <c r="J14" s="197">
        <v>7.4999999999999997E-2</v>
      </c>
      <c r="K14" s="197">
        <v>0.20960000000000001</v>
      </c>
      <c r="L14" s="197">
        <v>4.5400000000000003E-2</v>
      </c>
      <c r="M14" s="197">
        <v>0.23499999999999999</v>
      </c>
      <c r="N14" s="197">
        <v>0.35</v>
      </c>
      <c r="O14" s="197">
        <v>0</v>
      </c>
      <c r="R14" s="131">
        <v>8.5000000000000006E-2</v>
      </c>
      <c r="S14" s="131">
        <v>7.4999999999999997E-2</v>
      </c>
      <c r="T14" s="131">
        <v>0.20960000000000001</v>
      </c>
      <c r="U14" s="131">
        <v>4.5400000000000003E-2</v>
      </c>
      <c r="V14" s="131">
        <v>0.23499999999999999</v>
      </c>
      <c r="W14" s="131">
        <v>0.35</v>
      </c>
      <c r="X14" s="131">
        <v>0</v>
      </c>
    </row>
    <row r="15" spans="1:26" ht="18" customHeight="1">
      <c r="A15" s="177"/>
      <c r="B15" s="106"/>
      <c r="C15" s="118"/>
      <c r="D15" s="119"/>
      <c r="E15" s="119"/>
    </row>
    <row r="16" spans="1:26" hidden="1">
      <c r="A16" s="177"/>
      <c r="B16" s="106"/>
      <c r="C16" s="118" t="s">
        <v>126</v>
      </c>
      <c r="D16" s="119">
        <f t="shared" ref="D16:D21" si="1">IF(AND($D$5&gt;=D9,$D$5&lt;=E9),($D$5*F9-G9)/$D$5)</f>
        <v>4.4999999999999998E-2</v>
      </c>
      <c r="E16" s="119">
        <f t="shared" ref="E16:E22" si="2">ROUND(D16,5)</f>
        <v>4.4999999999999998E-2</v>
      </c>
      <c r="F16" s="119">
        <f>IF(AND($D$5&gt;=D9,$D$5&lt;=E9),E16,IF(AND($D$5&gt;=D10,$D$5&lt;=E10),E17,IF(AND($D$5&gt;=D11,$D$5&lt;=E11),E18,IF(AND($D$5&gt;=D12,$D$5&lt;=E12),E19,IF(AND($D$5&gt;=D13,$D$5&lt;=E13),E20,IF(AND($D$5&gt;=D14,$D$5&lt;=E14),E21,IF(AND($D$5&gt;=#REF!,$D$5&lt;=#REF!),E22,IF(AND($D$5&gt;#REF!),E23))))))))</f>
        <v>4.4999999999999998E-2</v>
      </c>
      <c r="I16" s="120" t="s">
        <v>28</v>
      </c>
      <c r="J16" s="120" t="s">
        <v>30</v>
      </c>
      <c r="K16" s="120" t="s">
        <v>47</v>
      </c>
      <c r="L16" s="120" t="s">
        <v>48</v>
      </c>
      <c r="M16" s="120" t="s">
        <v>22</v>
      </c>
      <c r="N16" s="120" t="s">
        <v>18</v>
      </c>
      <c r="O16" s="120" t="s">
        <v>20</v>
      </c>
    </row>
    <row r="17" spans="1:26" hidden="1">
      <c r="A17" s="177"/>
      <c r="B17" s="106"/>
      <c r="C17" s="118" t="s">
        <v>127</v>
      </c>
      <c r="D17" s="119" t="b">
        <f t="shared" si="1"/>
        <v>0</v>
      </c>
      <c r="E17" s="119">
        <f t="shared" si="2"/>
        <v>0</v>
      </c>
      <c r="F17" s="119">
        <f>ROUND(F16,4)</f>
        <v>4.4999999999999998E-2</v>
      </c>
      <c r="I17" s="121">
        <f t="shared" ref="I17:O17" si="3">IF(AND($D$5&gt;=$D$9,$D$5&lt;=$E$9),$E$5*I9,IF(AND($D$5&gt;=$D$10,$D$5&lt;=$E$10),$E$5*I10,IF(AND($D$5&gt;=$D$11,$D$5&lt;=$E$11),$E$5*I11,IF(AND($D$5&gt;=$D$12,$D$5&lt;=$E$12),$E$5*I12,IF(AND($D$5&gt;=$D$13,$D$5&lt;=$E$13),$E$5*I13,IF(AND($D$5&gt;=$D$14,$D$5&lt;=$E$14),$E$5*I14,IF(AND($D$5&gt;=#REF!,$D$5&lt;=#REF!),$E$5*#REF!,IF(AND($D$5&gt;#REF!),$E$5*#REF!))))))))</f>
        <v>2.4749999999999998E-3</v>
      </c>
      <c r="J17" s="121">
        <f t="shared" si="3"/>
        <v>1.575E-3</v>
      </c>
      <c r="K17" s="121">
        <f t="shared" si="3"/>
        <v>5.1794999999999992E-3</v>
      </c>
      <c r="L17" s="121">
        <f t="shared" si="3"/>
        <v>1.1205E-3</v>
      </c>
      <c r="M17" s="121">
        <f t="shared" si="3"/>
        <v>1.6875000000000001E-2</v>
      </c>
      <c r="N17" s="121">
        <f t="shared" si="3"/>
        <v>3.375E-3</v>
      </c>
      <c r="O17" s="121">
        <f t="shared" si="3"/>
        <v>1.44E-2</v>
      </c>
    </row>
    <row r="18" spans="1:26" hidden="1">
      <c r="A18" s="177"/>
      <c r="B18" s="106"/>
      <c r="C18" s="118" t="s">
        <v>128</v>
      </c>
      <c r="D18" s="119" t="b">
        <f t="shared" si="1"/>
        <v>0</v>
      </c>
      <c r="E18" s="119">
        <f t="shared" si="2"/>
        <v>0</v>
      </c>
      <c r="I18" s="122">
        <f t="shared" ref="I18:O18" si="4">ROUND(I17,4)</f>
        <v>2.5000000000000001E-3</v>
      </c>
      <c r="J18" s="122">
        <f t="shared" si="4"/>
        <v>1.6000000000000001E-3</v>
      </c>
      <c r="K18" s="122">
        <f t="shared" si="4"/>
        <v>5.1999999999999998E-3</v>
      </c>
      <c r="L18" s="122">
        <f t="shared" si="4"/>
        <v>1.1000000000000001E-3</v>
      </c>
      <c r="M18" s="122">
        <f t="shared" si="4"/>
        <v>1.6899999999999998E-2</v>
      </c>
      <c r="N18" s="122">
        <f t="shared" si="4"/>
        <v>3.3999999999999998E-3</v>
      </c>
      <c r="O18" s="122">
        <f t="shared" si="4"/>
        <v>1.44E-2</v>
      </c>
      <c r="P18" s="119">
        <f t="shared" ref="P18:P19" si="5">SUM(I18:O18)</f>
        <v>4.5100000000000001E-2</v>
      </c>
    </row>
    <row r="19" spans="1:26" ht="23.25" hidden="1">
      <c r="A19" s="177"/>
      <c r="B19" s="106"/>
      <c r="C19" s="118" t="s">
        <v>129</v>
      </c>
      <c r="D19" s="119" t="b">
        <f t="shared" si="1"/>
        <v>0</v>
      </c>
      <c r="E19" s="119">
        <f t="shared" si="2"/>
        <v>0</v>
      </c>
      <c r="I19" s="122">
        <f t="shared" ref="I19:O19" si="6">IF(I18=MAX($I$18:$O$18),(I18+$P$21),IF(I18&lt;&gt;MAX($I$18:$O$18),I18))</f>
        <v>2.5000000000000001E-3</v>
      </c>
      <c r="J19" s="122">
        <f t="shared" si="6"/>
        <v>1.6000000000000001E-3</v>
      </c>
      <c r="K19" s="122">
        <f t="shared" si="6"/>
        <v>5.1999999999999998E-3</v>
      </c>
      <c r="L19" s="122">
        <f t="shared" si="6"/>
        <v>1.1000000000000001E-3</v>
      </c>
      <c r="M19" s="122">
        <f t="shared" si="6"/>
        <v>1.6799999999999995E-2</v>
      </c>
      <c r="N19" s="122">
        <f t="shared" si="6"/>
        <v>3.3999999999999998E-3</v>
      </c>
      <c r="O19" s="122">
        <f t="shared" si="6"/>
        <v>1.44E-2</v>
      </c>
      <c r="P19" s="119">
        <f t="shared" si="5"/>
        <v>4.4999999999999998E-2</v>
      </c>
      <c r="Q19" s="132">
        <f>SUM(I19:O19)</f>
        <v>4.4999999999999998E-2</v>
      </c>
    </row>
    <row r="20" spans="1:26" ht="23.25" hidden="1">
      <c r="A20" s="177"/>
      <c r="B20" s="106"/>
      <c r="C20" s="118" t="s">
        <v>130</v>
      </c>
      <c r="D20" s="119" t="b">
        <f t="shared" si="1"/>
        <v>0</v>
      </c>
      <c r="E20" s="119">
        <f t="shared" si="2"/>
        <v>0</v>
      </c>
      <c r="I20" s="122">
        <f t="shared" ref="I20:O20" si="7">ROUND(I19,4)</f>
        <v>2.5000000000000001E-3</v>
      </c>
      <c r="J20" s="122">
        <f t="shared" si="7"/>
        <v>1.6000000000000001E-3</v>
      </c>
      <c r="K20" s="122">
        <f t="shared" si="7"/>
        <v>5.1999999999999998E-3</v>
      </c>
      <c r="L20" s="122">
        <f t="shared" si="7"/>
        <v>1.1000000000000001E-3</v>
      </c>
      <c r="M20" s="122">
        <f t="shared" si="7"/>
        <v>1.6799999999999999E-2</v>
      </c>
      <c r="N20" s="122">
        <f t="shared" si="7"/>
        <v>3.3999999999999998E-3</v>
      </c>
      <c r="O20" s="122">
        <f t="shared" si="7"/>
        <v>1.44E-2</v>
      </c>
      <c r="Q20" s="124" t="str">
        <f>IF(E5=Q19,"OK")</f>
        <v>OK</v>
      </c>
    </row>
    <row r="21" spans="1:26" ht="15.75" hidden="1" customHeight="1">
      <c r="A21" s="177"/>
      <c r="B21" s="106"/>
      <c r="C21" s="118" t="s">
        <v>131</v>
      </c>
      <c r="D21" s="119" t="b">
        <f t="shared" si="1"/>
        <v>0</v>
      </c>
      <c r="E21" s="119">
        <f t="shared" si="2"/>
        <v>0</v>
      </c>
      <c r="I21" s="122">
        <f t="shared" ref="I21:N21" si="8">I20-I18</f>
        <v>0</v>
      </c>
      <c r="J21" s="122">
        <f t="shared" si="8"/>
        <v>0</v>
      </c>
      <c r="K21" s="122">
        <f t="shared" si="8"/>
        <v>0</v>
      </c>
      <c r="L21" s="122">
        <f t="shared" si="8"/>
        <v>0</v>
      </c>
      <c r="M21" s="122">
        <f t="shared" si="8"/>
        <v>-9.9999999999999395E-5</v>
      </c>
      <c r="N21" s="122">
        <f t="shared" si="8"/>
        <v>0</v>
      </c>
      <c r="P21" s="119">
        <f>E5-P18</f>
        <v>-1.0000000000000286E-4</v>
      </c>
    </row>
    <row r="22" spans="1:26" ht="15.75" hidden="1" customHeight="1">
      <c r="A22" s="177"/>
      <c r="B22" s="106"/>
      <c r="C22" s="118" t="s">
        <v>133</v>
      </c>
      <c r="D22" s="119" t="e">
        <f>IF(AND($D$5&gt;=#REF!,$D$5&lt;=#REF!),($D$5*#REF!-#REF!)/$D$5)</f>
        <v>#REF!</v>
      </c>
      <c r="E22" s="119" t="e">
        <f t="shared" si="2"/>
        <v>#REF!</v>
      </c>
      <c r="I22" s="133"/>
    </row>
    <row r="23" spans="1:26" ht="19.5" customHeight="1">
      <c r="A23" s="177"/>
      <c r="B23" s="106"/>
      <c r="C23" s="118"/>
      <c r="D23" s="119"/>
      <c r="E23" s="119"/>
    </row>
    <row r="24" spans="1:26" ht="15.75" customHeight="1">
      <c r="A24" s="177"/>
      <c r="B24" s="106"/>
    </row>
    <row r="25" spans="1:26" ht="18" customHeight="1">
      <c r="A25" s="177"/>
      <c r="B25" s="10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</row>
    <row r="26" spans="1:26" ht="18" customHeight="1">
      <c r="A26" s="177"/>
      <c r="B26" s="10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</row>
    <row r="27" spans="1:26" ht="18" customHeight="1">
      <c r="A27" s="177"/>
      <c r="B27" s="10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</row>
    <row r="28" spans="1:26" ht="18" customHeight="1">
      <c r="A28" s="177"/>
      <c r="B28" s="10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</row>
    <row r="29" spans="1:26" ht="18" customHeight="1">
      <c r="A29" s="177"/>
      <c r="B29" s="10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</row>
  </sheetData>
  <sheetProtection algorithmName="SHA-512" hashValue="ehMxotl8GIV4QV0N1N+rgPQU8tl4XqfhpldEjDXRXMMrBqPNP/hdx2/7cVTzDCDVuBZeDatES5U6H5w9B2DEZQ==" saltValue="UWyxme1cx2vE9GaZxQyI6g==" spinCount="100000" sheet="1" objects="1" scenarios="1" selectLockedCells="1"/>
  <mergeCells count="7">
    <mergeCell ref="I7:N7"/>
    <mergeCell ref="C1:L1"/>
    <mergeCell ref="M1:Q1"/>
    <mergeCell ref="C3:C4"/>
    <mergeCell ref="D3:D4"/>
    <mergeCell ref="E3:E4"/>
    <mergeCell ref="F3:L3"/>
  </mergeCells>
  <conditionalFormatting sqref="I21:N21">
    <cfRule type="expression" dxfId="15" priority="1">
      <formula>"SE+$G$19&lt;&gt;0"</formula>
    </cfRule>
  </conditionalFormatting>
  <conditionalFormatting sqref="I21:N21">
    <cfRule type="cellIs" dxfId="14" priority="2" operator="notEqual">
      <formula>0</formula>
    </cfRule>
  </conditionalFormatting>
  <conditionalFormatting sqref="I21:N21">
    <cfRule type="cellIs" dxfId="13" priority="3" operator="lessThan">
      <formula>0</formula>
    </cfRule>
  </conditionalFormatting>
  <conditionalFormatting sqref="I21:N21">
    <cfRule type="cellIs" dxfId="12" priority="4" operator="greaterThan">
      <formula>0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showGridLines="0" workbookViewId="0">
      <selection activeCell="C2" sqref="C2"/>
    </sheetView>
  </sheetViews>
  <sheetFormatPr defaultColWidth="14.42578125" defaultRowHeight="15" customHeight="1"/>
  <cols>
    <col min="1" max="1" width="26.5703125" style="184" customWidth="1"/>
    <col min="2" max="2" width="6.42578125" style="108" customWidth="1"/>
    <col min="3" max="3" width="23.7109375" style="108" customWidth="1"/>
    <col min="4" max="4" width="32.85546875" style="108" bestFit="1" customWidth="1"/>
    <col min="5" max="7" width="15.7109375" style="108" customWidth="1"/>
    <col min="8" max="8" width="11.42578125" style="108" customWidth="1"/>
    <col min="9" max="9" width="13.42578125" style="108" customWidth="1"/>
    <col min="10" max="11" width="11.42578125" style="108" customWidth="1"/>
    <col min="12" max="12" width="11.28515625" style="108" bestFit="1" customWidth="1"/>
    <col min="13" max="14" width="9.140625" style="108" customWidth="1"/>
    <col min="15" max="16" width="13.42578125" style="108" customWidth="1"/>
    <col min="17" max="19" width="7" style="108" customWidth="1"/>
    <col min="20" max="20" width="6" style="108" customWidth="1"/>
    <col min="21" max="22" width="7" style="108" customWidth="1"/>
    <col min="23" max="26" width="8.7109375" style="108" customWidth="1"/>
    <col min="27" max="16384" width="14.42578125" style="108"/>
  </cols>
  <sheetData>
    <row r="1" spans="1:26" ht="51.75" customHeight="1" thickBot="1">
      <c r="A1" s="176"/>
      <c r="B1" s="106"/>
      <c r="C1" s="215" t="s">
        <v>144</v>
      </c>
      <c r="D1" s="216"/>
      <c r="E1" s="216"/>
      <c r="F1" s="216"/>
      <c r="G1" s="216"/>
      <c r="H1" s="216"/>
      <c r="I1" s="216"/>
      <c r="J1" s="216"/>
      <c r="K1" s="216"/>
      <c r="L1" s="216"/>
      <c r="M1" s="217"/>
      <c r="N1" s="216"/>
      <c r="O1" s="216"/>
      <c r="P1" s="216"/>
      <c r="Q1" s="216"/>
      <c r="R1" s="107"/>
      <c r="S1" s="107"/>
      <c r="T1" s="107"/>
      <c r="U1" s="107"/>
      <c r="V1" s="107"/>
      <c r="W1" s="107"/>
      <c r="X1" s="107"/>
      <c r="Y1" s="107"/>
      <c r="Z1" s="107"/>
    </row>
    <row r="2" spans="1:26" ht="15.75" thickTop="1">
      <c r="A2" s="177"/>
      <c r="B2" s="106"/>
    </row>
    <row r="3" spans="1:26" ht="15.75" customHeight="1">
      <c r="A3" s="178"/>
      <c r="B3" s="128"/>
      <c r="C3" s="218"/>
      <c r="D3" s="220" t="s">
        <v>117</v>
      </c>
      <c r="E3" s="218" t="s">
        <v>118</v>
      </c>
      <c r="F3" s="221" t="s">
        <v>119</v>
      </c>
      <c r="G3" s="213"/>
      <c r="H3" s="213"/>
      <c r="I3" s="213"/>
      <c r="J3" s="213"/>
      <c r="K3" s="213"/>
    </row>
    <row r="4" spans="1:26" ht="15.75">
      <c r="A4" s="178"/>
      <c r="B4" s="129"/>
      <c r="C4" s="219"/>
      <c r="D4" s="219"/>
      <c r="E4" s="219"/>
      <c r="F4" s="185" t="s">
        <v>28</v>
      </c>
      <c r="G4" s="186" t="s">
        <v>30</v>
      </c>
      <c r="H4" s="186" t="s">
        <v>47</v>
      </c>
      <c r="I4" s="186" t="s">
        <v>48</v>
      </c>
      <c r="J4" s="186" t="s">
        <v>22</v>
      </c>
      <c r="K4" s="187" t="s">
        <v>19</v>
      </c>
    </row>
    <row r="5" spans="1:26" ht="25.5">
      <c r="A5" s="179"/>
      <c r="B5" s="112"/>
      <c r="C5" s="189" t="s">
        <v>132</v>
      </c>
      <c r="D5" s="191">
        <f>'Entrada de Dados'!H12</f>
        <v>15000</v>
      </c>
      <c r="E5" s="190">
        <f>F17</f>
        <v>0.06</v>
      </c>
      <c r="F5" s="190">
        <f t="shared" ref="F5:K5" si="0">I26</f>
        <v>2.3999999999999998E-3</v>
      </c>
      <c r="G5" s="190">
        <f t="shared" si="0"/>
        <v>2.0999999999999999E-3</v>
      </c>
      <c r="H5" s="190">
        <f t="shared" si="0"/>
        <v>7.7000000000000002E-3</v>
      </c>
      <c r="I5" s="190">
        <f t="shared" si="0"/>
        <v>1.6999999999999999E-3</v>
      </c>
      <c r="J5" s="190">
        <f t="shared" si="0"/>
        <v>2.5999999999999999E-2</v>
      </c>
      <c r="K5" s="190">
        <f t="shared" si="0"/>
        <v>2.01E-2</v>
      </c>
    </row>
    <row r="6" spans="1:26">
      <c r="A6" s="180"/>
      <c r="B6" s="114"/>
      <c r="E6" s="122"/>
      <c r="F6" s="134"/>
      <c r="O6" s="113"/>
    </row>
    <row r="7" spans="1:26" ht="18" customHeight="1">
      <c r="A7" s="182"/>
      <c r="B7" s="114"/>
      <c r="I7" s="212" t="s">
        <v>121</v>
      </c>
      <c r="J7" s="213"/>
      <c r="K7" s="213"/>
      <c r="L7" s="213"/>
      <c r="M7" s="213"/>
      <c r="N7" s="214"/>
    </row>
    <row r="8" spans="1:26" ht="18" customHeight="1">
      <c r="A8" s="182"/>
      <c r="B8" s="114"/>
      <c r="C8" s="188"/>
      <c r="D8" s="188" t="s">
        <v>122</v>
      </c>
      <c r="E8" s="188" t="s">
        <v>123</v>
      </c>
      <c r="F8" s="188" t="s">
        <v>124</v>
      </c>
      <c r="G8" s="188" t="s">
        <v>125</v>
      </c>
      <c r="I8" s="186" t="s">
        <v>28</v>
      </c>
      <c r="J8" s="186" t="s">
        <v>30</v>
      </c>
      <c r="K8" s="186" t="s">
        <v>47</v>
      </c>
      <c r="L8" s="186" t="s">
        <v>48</v>
      </c>
      <c r="M8" s="186" t="s">
        <v>22</v>
      </c>
      <c r="N8" s="186" t="s">
        <v>19</v>
      </c>
    </row>
    <row r="9" spans="1:26" ht="18" customHeight="1">
      <c r="A9" s="182"/>
      <c r="B9" s="114"/>
      <c r="C9" s="192" t="s">
        <v>126</v>
      </c>
      <c r="D9" s="193">
        <v>0</v>
      </c>
      <c r="E9" s="193">
        <v>180000</v>
      </c>
      <c r="F9" s="194">
        <v>0.06</v>
      </c>
      <c r="G9" s="193">
        <v>0</v>
      </c>
      <c r="H9" s="130"/>
      <c r="I9" s="194">
        <v>0.04</v>
      </c>
      <c r="J9" s="194">
        <v>3.5000000000000003E-2</v>
      </c>
      <c r="K9" s="194">
        <v>0.12820000000000001</v>
      </c>
      <c r="L9" s="194">
        <v>2.7799999999999998E-2</v>
      </c>
      <c r="M9" s="194">
        <v>0.434</v>
      </c>
      <c r="N9" s="194">
        <v>0.33500000000000002</v>
      </c>
    </row>
    <row r="10" spans="1:26" ht="18" customHeight="1">
      <c r="A10" s="182"/>
      <c r="B10" s="114"/>
      <c r="C10" s="195" t="s">
        <v>127</v>
      </c>
      <c r="D10" s="196">
        <v>180000.01</v>
      </c>
      <c r="E10" s="196">
        <v>360000</v>
      </c>
      <c r="F10" s="197">
        <v>0.112</v>
      </c>
      <c r="G10" s="196">
        <v>9360</v>
      </c>
      <c r="H10" s="130"/>
      <c r="I10" s="197">
        <v>0.04</v>
      </c>
      <c r="J10" s="197">
        <v>3.5000000000000003E-2</v>
      </c>
      <c r="K10" s="197">
        <v>0.14050000000000001</v>
      </c>
      <c r="L10" s="197">
        <v>3.0499999999999999E-2</v>
      </c>
      <c r="M10" s="197">
        <v>0.434</v>
      </c>
      <c r="N10" s="197">
        <v>0.32</v>
      </c>
    </row>
    <row r="11" spans="1:26" ht="18" customHeight="1">
      <c r="A11" s="182"/>
      <c r="B11" s="116"/>
      <c r="C11" s="192" t="s">
        <v>128</v>
      </c>
      <c r="D11" s="193">
        <v>360000.01</v>
      </c>
      <c r="E11" s="193">
        <v>720000</v>
      </c>
      <c r="F11" s="194">
        <v>0.13500000000000001</v>
      </c>
      <c r="G11" s="193">
        <v>17640</v>
      </c>
      <c r="H11" s="130"/>
      <c r="I11" s="194">
        <v>0.04</v>
      </c>
      <c r="J11" s="194">
        <v>3.5000000000000003E-2</v>
      </c>
      <c r="K11" s="194">
        <v>0.13639999999999999</v>
      </c>
      <c r="L11" s="194">
        <v>2.9600000000000001E-2</v>
      </c>
      <c r="M11" s="194">
        <v>0.434</v>
      </c>
      <c r="N11" s="194">
        <v>0.32500000000000001</v>
      </c>
    </row>
    <row r="12" spans="1:26" ht="18" customHeight="1">
      <c r="A12" s="183"/>
      <c r="B12" s="114"/>
      <c r="C12" s="195" t="s">
        <v>129</v>
      </c>
      <c r="D12" s="196">
        <v>720000.01</v>
      </c>
      <c r="E12" s="196">
        <v>1800000</v>
      </c>
      <c r="F12" s="197">
        <v>0.16</v>
      </c>
      <c r="G12" s="196">
        <v>35640</v>
      </c>
      <c r="H12" s="130"/>
      <c r="I12" s="197">
        <v>0.04</v>
      </c>
      <c r="J12" s="197">
        <v>3.5000000000000003E-2</v>
      </c>
      <c r="K12" s="197">
        <v>0.13639999999999999</v>
      </c>
      <c r="L12" s="197">
        <v>2.9600000000000001E-2</v>
      </c>
      <c r="M12" s="197">
        <v>0.434</v>
      </c>
      <c r="N12" s="197">
        <v>0.32500000000000001</v>
      </c>
    </row>
    <row r="13" spans="1:26" ht="18" customHeight="1">
      <c r="A13" s="182"/>
      <c r="B13" s="117"/>
      <c r="C13" s="192" t="s">
        <v>130</v>
      </c>
      <c r="D13" s="193">
        <v>1800000.01</v>
      </c>
      <c r="E13" s="193">
        <v>3600000</v>
      </c>
      <c r="F13" s="194">
        <v>0.21</v>
      </c>
      <c r="G13" s="193">
        <v>125640</v>
      </c>
      <c r="H13" s="130"/>
      <c r="I13" s="194">
        <v>0.04</v>
      </c>
      <c r="J13" s="194">
        <v>3.5000000000000003E-2</v>
      </c>
      <c r="K13" s="194">
        <v>0.12820000000000001</v>
      </c>
      <c r="L13" s="194">
        <v>2.7799999999999998E-2</v>
      </c>
      <c r="M13" s="194">
        <v>0.434</v>
      </c>
      <c r="N13" s="194">
        <v>0.33500000000000002</v>
      </c>
    </row>
    <row r="14" spans="1:26" ht="18" customHeight="1">
      <c r="A14" s="183"/>
      <c r="B14" s="106"/>
      <c r="C14" s="195" t="s">
        <v>131</v>
      </c>
      <c r="D14" s="196">
        <v>3600000.01</v>
      </c>
      <c r="E14" s="196">
        <v>4800000</v>
      </c>
      <c r="F14" s="197">
        <v>0.33</v>
      </c>
      <c r="G14" s="196">
        <v>648000</v>
      </c>
      <c r="H14" s="130"/>
      <c r="I14" s="197">
        <v>0.35</v>
      </c>
      <c r="J14" s="197">
        <v>0.15</v>
      </c>
      <c r="K14" s="197">
        <v>0.1603</v>
      </c>
      <c r="L14" s="197">
        <v>3.4700000000000002E-2</v>
      </c>
      <c r="M14" s="197">
        <v>0.30499999999999999</v>
      </c>
      <c r="N14" s="197">
        <v>0</v>
      </c>
    </row>
    <row r="15" spans="1:26" ht="18" customHeight="1">
      <c r="A15" s="177"/>
      <c r="B15" s="106"/>
      <c r="C15" s="118"/>
      <c r="D15" s="119"/>
      <c r="E15" s="119"/>
    </row>
    <row r="16" spans="1:26" hidden="1">
      <c r="A16" s="177"/>
      <c r="B16" s="106"/>
      <c r="C16" s="118" t="s">
        <v>126</v>
      </c>
      <c r="D16" s="119">
        <f t="shared" ref="D16:D21" si="1">IF(AND($D$5&gt;=D9,$D$5&lt;=E9),($D$5*F9-G9)/$D$5)</f>
        <v>0.06</v>
      </c>
      <c r="E16" s="119">
        <f t="shared" ref="E16:E21" si="2">ROUND(D16,5)</f>
        <v>0.06</v>
      </c>
      <c r="F16" s="119">
        <f>IF(AND($D$5&gt;=D9,$D$5&lt;=E9),E16,IF(AND($D$5&gt;=D10,$D$5&lt;=E10),E17,IF(AND($D$5&gt;=D11,$D$5&lt;=E11),E18,IF(AND($D$5&gt;=D12,$D$5&lt;=E12),E19,IF(AND($D$5&gt;=D13,$D$5&lt;=E13),E20,IF(AND($D$5&gt;=D14,$D$5&lt;=E14),E21,IF(AND($D$5&gt;=#REF!,$D$5&lt;=#REF!),#REF!,IF(AND($D$5&gt;#REF!),E22))))))))</f>
        <v>0.06</v>
      </c>
      <c r="I16" s="120" t="s">
        <v>28</v>
      </c>
      <c r="J16" s="120" t="s">
        <v>30</v>
      </c>
      <c r="K16" s="120" t="s">
        <v>47</v>
      </c>
      <c r="L16" s="120" t="s">
        <v>48</v>
      </c>
      <c r="M16" s="120" t="s">
        <v>22</v>
      </c>
      <c r="N16" s="120" t="s">
        <v>19</v>
      </c>
      <c r="P16" s="135">
        <v>0.05</v>
      </c>
    </row>
    <row r="17" spans="1:16" hidden="1">
      <c r="A17" s="177"/>
      <c r="B17" s="106"/>
      <c r="C17" s="118" t="s">
        <v>127</v>
      </c>
      <c r="D17" s="119" t="b">
        <f t="shared" si="1"/>
        <v>0</v>
      </c>
      <c r="E17" s="119">
        <f t="shared" si="2"/>
        <v>0</v>
      </c>
      <c r="F17" s="119">
        <f>ROUND(F16,4)</f>
        <v>0.06</v>
      </c>
      <c r="I17" s="121">
        <f t="shared" ref="I17:N17" si="3">IF(AND($D$5&gt;=$D$9,$D$5&lt;=$E$9),$E$5*I9,IF(AND($D$5&gt;=$D$10,$D$5&lt;=$E$10),$E$5*I10,IF(AND($D$5&gt;=$D$11,$D$5&lt;=$E$11),$E$5*I11,IF(AND($D$5&gt;=$D$12,$D$5&lt;=$E$12),$E$5*I12,IF(AND($D$5&gt;=$D$13,$D$5&lt;=$E$13),$E$5*I13,IF(AND($D$5&gt;=$D$14,$D$5&lt;=$E$14),$E$5*I14,IF(AND($D$5&gt;=#REF!,$D$5&lt;=#REF!),$E$5*#REF!,IF(AND($D$5&gt;#REF!),$E$5*#REF!))))))))</f>
        <v>2.3999999999999998E-3</v>
      </c>
      <c r="J17" s="121">
        <f t="shared" si="3"/>
        <v>2.1000000000000003E-3</v>
      </c>
      <c r="K17" s="121">
        <f t="shared" si="3"/>
        <v>7.6920000000000001E-3</v>
      </c>
      <c r="L17" s="122">
        <f t="shared" si="3"/>
        <v>1.6679999999999998E-3</v>
      </c>
      <c r="M17" s="121">
        <f t="shared" si="3"/>
        <v>2.6039999999999997E-2</v>
      </c>
      <c r="N17" s="121">
        <f t="shared" si="3"/>
        <v>2.01E-2</v>
      </c>
      <c r="O17" s="121"/>
    </row>
    <row r="18" spans="1:16" hidden="1">
      <c r="A18" s="177"/>
      <c r="B18" s="106"/>
      <c r="C18" s="118" t="s">
        <v>128</v>
      </c>
      <c r="D18" s="119" t="b">
        <f t="shared" si="1"/>
        <v>0</v>
      </c>
      <c r="E18" s="119">
        <f t="shared" si="2"/>
        <v>0</v>
      </c>
      <c r="I18" s="122">
        <f t="shared" ref="I18:N18" si="4">ROUND(I17,4)</f>
        <v>2.3999999999999998E-3</v>
      </c>
      <c r="J18" s="122">
        <f t="shared" si="4"/>
        <v>2.0999999999999999E-3</v>
      </c>
      <c r="K18" s="122">
        <f t="shared" si="4"/>
        <v>7.7000000000000002E-3</v>
      </c>
      <c r="L18" s="122">
        <f t="shared" si="4"/>
        <v>1.6999999999999999E-3</v>
      </c>
      <c r="M18" s="122">
        <f t="shared" si="4"/>
        <v>2.5999999999999999E-2</v>
      </c>
      <c r="N18" s="122">
        <f t="shared" si="4"/>
        <v>2.01E-2</v>
      </c>
      <c r="O18" s="119">
        <f t="shared" ref="O18:O19" si="5">SUM(I18:N18)</f>
        <v>0.06</v>
      </c>
    </row>
    <row r="19" spans="1:16" ht="23.25" hidden="1">
      <c r="A19" s="177"/>
      <c r="B19" s="106"/>
      <c r="C19" s="118" t="s">
        <v>129</v>
      </c>
      <c r="D19" s="119" t="b">
        <f t="shared" si="1"/>
        <v>0</v>
      </c>
      <c r="E19" s="119">
        <f t="shared" si="2"/>
        <v>0</v>
      </c>
      <c r="I19" s="122">
        <f t="shared" ref="I19:N19" si="6">IF(I18=MAX($I$18:$N$18),(I18+$O$21),IF(I18&lt;&gt;MAX($I$18:$N$18),I18))</f>
        <v>2.3999999999999998E-3</v>
      </c>
      <c r="J19" s="122">
        <f t="shared" si="6"/>
        <v>2.0999999999999999E-3</v>
      </c>
      <c r="K19" s="122">
        <f t="shared" si="6"/>
        <v>7.7000000000000002E-3</v>
      </c>
      <c r="L19" s="122">
        <f t="shared" si="6"/>
        <v>1.6999999999999999E-3</v>
      </c>
      <c r="M19" s="122">
        <f t="shared" si="6"/>
        <v>2.5999999999999999E-2</v>
      </c>
      <c r="N19" s="122">
        <f t="shared" si="6"/>
        <v>2.01E-2</v>
      </c>
      <c r="O19" s="119">
        <f t="shared" si="5"/>
        <v>0.06</v>
      </c>
      <c r="P19" s="123">
        <f>SUM(I19:N19)</f>
        <v>0.06</v>
      </c>
    </row>
    <row r="20" spans="1:16" ht="23.25" hidden="1">
      <c r="A20" s="177"/>
      <c r="B20" s="106"/>
      <c r="C20" s="118" t="s">
        <v>130</v>
      </c>
      <c r="D20" s="119" t="b">
        <f t="shared" si="1"/>
        <v>0</v>
      </c>
      <c r="E20" s="119">
        <f t="shared" si="2"/>
        <v>0</v>
      </c>
      <c r="I20" s="122">
        <f t="shared" ref="I20:N20" si="7">ROUND(I19,4)</f>
        <v>2.3999999999999998E-3</v>
      </c>
      <c r="J20" s="122">
        <f t="shared" si="7"/>
        <v>2.0999999999999999E-3</v>
      </c>
      <c r="K20" s="122">
        <f t="shared" si="7"/>
        <v>7.7000000000000002E-3</v>
      </c>
      <c r="L20" s="122">
        <f t="shared" si="7"/>
        <v>1.6999999999999999E-3</v>
      </c>
      <c r="M20" s="122">
        <f t="shared" si="7"/>
        <v>2.5999999999999999E-2</v>
      </c>
      <c r="N20" s="122">
        <f t="shared" si="7"/>
        <v>2.01E-2</v>
      </c>
      <c r="P20" s="124" t="str">
        <f>IF(E5=P19,"OK")</f>
        <v>OK</v>
      </c>
    </row>
    <row r="21" spans="1:16" ht="15.75" hidden="1" customHeight="1">
      <c r="A21" s="177"/>
      <c r="B21" s="106"/>
      <c r="C21" s="118" t="s">
        <v>131</v>
      </c>
      <c r="D21" s="119" t="b">
        <f t="shared" si="1"/>
        <v>0</v>
      </c>
      <c r="E21" s="119">
        <f t="shared" si="2"/>
        <v>0</v>
      </c>
      <c r="I21" s="122">
        <f t="shared" ref="I21:N21" si="8">I20-I18</f>
        <v>0</v>
      </c>
      <c r="J21" s="122">
        <f t="shared" si="8"/>
        <v>0</v>
      </c>
      <c r="K21" s="122">
        <f t="shared" si="8"/>
        <v>0</v>
      </c>
      <c r="L21" s="122">
        <f t="shared" si="8"/>
        <v>0</v>
      </c>
      <c r="M21" s="122">
        <f t="shared" si="8"/>
        <v>0</v>
      </c>
      <c r="N21" s="122">
        <f t="shared" si="8"/>
        <v>0</v>
      </c>
      <c r="O21" s="119">
        <f>E5-O18</f>
        <v>0</v>
      </c>
    </row>
    <row r="22" spans="1:16" ht="15.75" hidden="1" customHeight="1">
      <c r="A22" s="177"/>
      <c r="B22" s="106"/>
      <c r="C22" s="118"/>
      <c r="D22" s="119"/>
      <c r="E22" s="119"/>
      <c r="I22" s="122">
        <f t="shared" ref="I22:N22" si="9">I20</f>
        <v>2.3999999999999998E-3</v>
      </c>
      <c r="J22" s="122">
        <f t="shared" si="9"/>
        <v>2.0999999999999999E-3</v>
      </c>
      <c r="K22" s="122">
        <f t="shared" si="9"/>
        <v>7.7000000000000002E-3</v>
      </c>
      <c r="L22" s="122">
        <f t="shared" si="9"/>
        <v>1.6999999999999999E-3</v>
      </c>
      <c r="M22" s="122">
        <f t="shared" si="9"/>
        <v>2.5999999999999999E-2</v>
      </c>
      <c r="N22" s="122">
        <f t="shared" si="9"/>
        <v>2.01E-2</v>
      </c>
      <c r="O22" s="122">
        <f>N22-P16</f>
        <v>-2.9900000000000003E-2</v>
      </c>
      <c r="P22" s="122">
        <f>IF(O22&gt;0,O22,0)</f>
        <v>0</v>
      </c>
    </row>
    <row r="23" spans="1:16" ht="15.75" hidden="1" customHeight="1">
      <c r="A23" s="177"/>
      <c r="B23" s="106"/>
      <c r="I23" s="122">
        <f t="shared" ref="I23:M23" si="10">$P$22*I31</f>
        <v>0</v>
      </c>
      <c r="J23" s="122">
        <f t="shared" si="10"/>
        <v>0</v>
      </c>
      <c r="K23" s="122">
        <f t="shared" si="10"/>
        <v>0</v>
      </c>
      <c r="L23" s="122">
        <f t="shared" si="10"/>
        <v>0</v>
      </c>
      <c r="M23" s="122">
        <f t="shared" si="10"/>
        <v>0</v>
      </c>
      <c r="O23" s="122">
        <f t="shared" ref="O23:O26" si="11">SUM(I23:N23)</f>
        <v>0</v>
      </c>
    </row>
    <row r="24" spans="1:16" ht="15.75" hidden="1" customHeight="1">
      <c r="A24" s="177"/>
      <c r="B24" s="106"/>
      <c r="I24" s="122">
        <f t="shared" ref="I24:M24" si="12">I20+I23</f>
        <v>2.3999999999999998E-3</v>
      </c>
      <c r="J24" s="122">
        <f t="shared" si="12"/>
        <v>2.0999999999999999E-3</v>
      </c>
      <c r="K24" s="122">
        <f t="shared" si="12"/>
        <v>7.7000000000000002E-3</v>
      </c>
      <c r="L24" s="122">
        <f t="shared" si="12"/>
        <v>1.6999999999999999E-3</v>
      </c>
      <c r="M24" s="122">
        <f t="shared" si="12"/>
        <v>2.5999999999999999E-2</v>
      </c>
      <c r="N24" s="122">
        <f>N22-P22</f>
        <v>2.01E-2</v>
      </c>
      <c r="O24" s="122">
        <f t="shared" si="11"/>
        <v>0.06</v>
      </c>
    </row>
    <row r="25" spans="1:16" ht="15.75" hidden="1" customHeight="1">
      <c r="A25" s="177"/>
      <c r="B25" s="106"/>
      <c r="I25" s="122">
        <f t="shared" ref="I25:M25" si="13">ROUND(I24,4)</f>
        <v>2.3999999999999998E-3</v>
      </c>
      <c r="J25" s="122">
        <f t="shared" si="13"/>
        <v>2.0999999999999999E-3</v>
      </c>
      <c r="K25" s="122">
        <f t="shared" si="13"/>
        <v>7.7000000000000002E-3</v>
      </c>
      <c r="L25" s="122">
        <f t="shared" si="13"/>
        <v>1.6999999999999999E-3</v>
      </c>
      <c r="M25" s="122">
        <f t="shared" si="13"/>
        <v>2.5999999999999999E-2</v>
      </c>
      <c r="N25" s="122">
        <f>TRUNC(N24,4)</f>
        <v>2.01E-2</v>
      </c>
      <c r="O25" s="122">
        <f t="shared" si="11"/>
        <v>0.06</v>
      </c>
      <c r="P25" s="122">
        <f>O24-O25</f>
        <v>0</v>
      </c>
    </row>
    <row r="26" spans="1:16" ht="15.75" hidden="1" customHeight="1">
      <c r="A26" s="177"/>
      <c r="B26" s="106"/>
      <c r="C26" s="136" t="s">
        <v>134</v>
      </c>
      <c r="D26" s="137">
        <v>2064579</v>
      </c>
      <c r="I26" s="122">
        <f>IF(I25=MAX($I$25:$M$25),(I25+$P$25),IF(I25&lt;&gt;MAX($I$25:$M$25),I25))</f>
        <v>2.3999999999999998E-3</v>
      </c>
      <c r="J26" s="122">
        <f t="shared" ref="J26:N26" si="14">IF(J25=MAX($I$25:$N$25),(J25+$P$25),IF(J25&lt;&gt;MAX($I$25:$N$25),J25))</f>
        <v>2.0999999999999999E-3</v>
      </c>
      <c r="K26" s="122">
        <f t="shared" si="14"/>
        <v>7.7000000000000002E-3</v>
      </c>
      <c r="L26" s="122">
        <f t="shared" si="14"/>
        <v>1.6999999999999999E-3</v>
      </c>
      <c r="M26" s="122">
        <f t="shared" si="14"/>
        <v>2.5999999999999999E-2</v>
      </c>
      <c r="N26" s="122">
        <f t="shared" si="14"/>
        <v>2.01E-2</v>
      </c>
      <c r="O26" s="123">
        <f t="shared" si="11"/>
        <v>0.06</v>
      </c>
    </row>
    <row r="27" spans="1:16" ht="15.75" hidden="1" customHeight="1">
      <c r="A27" s="177"/>
      <c r="B27" s="106"/>
      <c r="I27" s="122"/>
      <c r="J27" s="122"/>
      <c r="K27" s="122"/>
      <c r="L27" s="122"/>
      <c r="M27" s="122"/>
      <c r="N27" s="122"/>
      <c r="O27" s="122"/>
    </row>
    <row r="28" spans="1:16" ht="15.75" hidden="1" customHeight="1">
      <c r="A28" s="177"/>
      <c r="B28" s="106"/>
    </row>
    <row r="29" spans="1:16" ht="15.75" hidden="1" customHeight="1">
      <c r="A29" s="177"/>
      <c r="B29" s="106"/>
      <c r="I29" s="131">
        <v>0.04</v>
      </c>
      <c r="J29" s="131">
        <v>3.5000000000000003E-2</v>
      </c>
      <c r="K29" s="131">
        <v>0.12820000000000001</v>
      </c>
      <c r="L29" s="131">
        <v>2.7799999999999998E-2</v>
      </c>
      <c r="M29" s="131">
        <v>0.434</v>
      </c>
      <c r="N29" s="122">
        <f t="shared" ref="N29:N31" si="15">SUM(I29:M29)</f>
        <v>0.66500000000000004</v>
      </c>
    </row>
    <row r="30" spans="1:16" ht="15.75" hidden="1" customHeight="1">
      <c r="A30" s="177"/>
      <c r="B30" s="106"/>
      <c r="I30" s="138">
        <f t="shared" ref="I30:M30" si="16">I29/$N$29</f>
        <v>6.0150375939849621E-2</v>
      </c>
      <c r="J30" s="138">
        <f t="shared" si="16"/>
        <v>5.2631578947368425E-2</v>
      </c>
      <c r="K30" s="138">
        <f t="shared" si="16"/>
        <v>0.19278195488721805</v>
      </c>
      <c r="L30" s="138">
        <f t="shared" si="16"/>
        <v>4.1804511278195483E-2</v>
      </c>
      <c r="M30" s="138">
        <f t="shared" si="16"/>
        <v>0.65263157894736834</v>
      </c>
      <c r="N30" s="131">
        <f t="shared" si="15"/>
        <v>0.99999999999999989</v>
      </c>
    </row>
    <row r="31" spans="1:16" ht="15.75" hidden="1" customHeight="1">
      <c r="A31" s="177"/>
      <c r="B31" s="106"/>
      <c r="I31" s="122">
        <f t="shared" ref="I31:M31" si="17">I29/$N$29</f>
        <v>6.0150375939849621E-2</v>
      </c>
      <c r="J31" s="122">
        <f t="shared" si="17"/>
        <v>5.2631578947368425E-2</v>
      </c>
      <c r="K31" s="122">
        <f t="shared" si="17"/>
        <v>0.19278195488721805</v>
      </c>
      <c r="L31" s="122">
        <f t="shared" si="17"/>
        <v>4.1804511278195483E-2</v>
      </c>
      <c r="M31" s="122">
        <f t="shared" si="17"/>
        <v>0.65263157894736834</v>
      </c>
      <c r="N31" s="122">
        <f t="shared" si="15"/>
        <v>0.99999999999999989</v>
      </c>
    </row>
    <row r="32" spans="1:16" ht="15.75" hidden="1" customHeight="1">
      <c r="A32" s="177"/>
      <c r="B32" s="106"/>
      <c r="I32" s="122">
        <f t="shared" ref="I32:M32" si="18">($E$5-5%)*I31</f>
        <v>6.0150375939849589E-4</v>
      </c>
      <c r="J32" s="122">
        <f t="shared" si="18"/>
        <v>5.2631578947368398E-4</v>
      </c>
      <c r="K32" s="122">
        <f t="shared" si="18"/>
        <v>1.9278195488721796E-3</v>
      </c>
      <c r="L32" s="122">
        <f t="shared" si="18"/>
        <v>4.1804511278195465E-4</v>
      </c>
      <c r="M32" s="122">
        <f t="shared" si="18"/>
        <v>6.5263157894736804E-3</v>
      </c>
      <c r="N32" s="135">
        <v>0.05</v>
      </c>
      <c r="O32" s="133">
        <f t="shared" ref="O32:O34" si="19">SUM(I32:N32)</f>
        <v>0.06</v>
      </c>
    </row>
    <row r="33" spans="1:26" ht="15.75" hidden="1" customHeight="1">
      <c r="A33" s="177"/>
      <c r="B33" s="106"/>
      <c r="I33" s="122">
        <f t="shared" ref="I33:N33" si="20">ROUND(I32,4)</f>
        <v>5.9999999999999995E-4</v>
      </c>
      <c r="J33" s="122">
        <f t="shared" si="20"/>
        <v>5.0000000000000001E-4</v>
      </c>
      <c r="K33" s="122">
        <f t="shared" si="20"/>
        <v>1.9E-3</v>
      </c>
      <c r="L33" s="122">
        <f t="shared" si="20"/>
        <v>4.0000000000000002E-4</v>
      </c>
      <c r="M33" s="122">
        <f t="shared" si="20"/>
        <v>6.4999999999999997E-3</v>
      </c>
      <c r="N33" s="122">
        <f t="shared" si="20"/>
        <v>0.05</v>
      </c>
      <c r="O33" s="133">
        <f t="shared" si="19"/>
        <v>5.9900000000000002E-2</v>
      </c>
      <c r="P33" s="133">
        <f>-O33+O32</f>
        <v>9.9999999999995925E-5</v>
      </c>
    </row>
    <row r="34" spans="1:26" ht="15.75" hidden="1" customHeight="1">
      <c r="A34" s="177"/>
      <c r="B34" s="106"/>
      <c r="I34" s="122">
        <f t="shared" ref="I34:M34" si="21">IF(I33=MAX($I$33:$N$33),(I33+$P$33),IF(I33&lt;&gt;MAX($I$33:$N$33),I33))</f>
        <v>5.9999999999999995E-4</v>
      </c>
      <c r="J34" s="122">
        <f t="shared" si="21"/>
        <v>5.0000000000000001E-4</v>
      </c>
      <c r="K34" s="122">
        <f t="shared" si="21"/>
        <v>1.9E-3</v>
      </c>
      <c r="L34" s="122">
        <f t="shared" si="21"/>
        <v>4.0000000000000002E-4</v>
      </c>
      <c r="M34" s="122">
        <f t="shared" si="21"/>
        <v>6.4999999999999997E-3</v>
      </c>
      <c r="N34" s="122">
        <f>IF(N33=MAX($I$18:$N$18),(N33+$O$21),IF(N33&lt;&gt;MAX($I$18:$N$18),N33))</f>
        <v>0.05</v>
      </c>
      <c r="O34" s="122">
        <f t="shared" si="19"/>
        <v>5.9900000000000002E-2</v>
      </c>
    </row>
    <row r="35" spans="1:26" ht="15.75" hidden="1" customHeight="1">
      <c r="A35" s="177"/>
      <c r="B35" s="106"/>
    </row>
    <row r="36" spans="1:26" ht="15.75" hidden="1" customHeight="1">
      <c r="A36" s="177"/>
      <c r="B36" s="106"/>
    </row>
    <row r="37" spans="1:26" ht="15.75" hidden="1" customHeight="1">
      <c r="A37" s="177"/>
      <c r="B37" s="106"/>
      <c r="I37" s="122" t="b">
        <f t="shared" ref="I37:N37" si="22">IF($E$5&lt;=$P$5,($E$5)*I13)</f>
        <v>0</v>
      </c>
      <c r="J37" s="122" t="b">
        <f t="shared" si="22"/>
        <v>0</v>
      </c>
      <c r="K37" s="122" t="b">
        <f t="shared" si="22"/>
        <v>0</v>
      </c>
      <c r="L37" s="122" t="b">
        <f t="shared" si="22"/>
        <v>0</v>
      </c>
      <c r="M37" s="122" t="b">
        <f t="shared" si="22"/>
        <v>0</v>
      </c>
      <c r="N37" s="122" t="b">
        <f t="shared" si="22"/>
        <v>0</v>
      </c>
    </row>
    <row r="38" spans="1:26" ht="15.75" hidden="1" customHeight="1">
      <c r="A38" s="177"/>
      <c r="B38" s="106"/>
      <c r="I38" s="122">
        <f t="shared" ref="I38:M38" si="23">IF($E$5&gt;$P$5,($E$5-$T$10)*I31)</f>
        <v>3.6090225563909771E-3</v>
      </c>
      <c r="J38" s="122">
        <f t="shared" si="23"/>
        <v>3.1578947368421052E-3</v>
      </c>
      <c r="K38" s="122">
        <f t="shared" si="23"/>
        <v>1.1566917293233083E-2</v>
      </c>
      <c r="L38" s="122">
        <f t="shared" si="23"/>
        <v>2.5082706766917291E-3</v>
      </c>
      <c r="M38" s="122">
        <f t="shared" si="23"/>
        <v>3.91578947368421E-2</v>
      </c>
    </row>
    <row r="39" spans="1:26" ht="15.75" hidden="1" customHeight="1">
      <c r="A39" s="177"/>
      <c r="B39" s="106"/>
    </row>
    <row r="40" spans="1:26" ht="15.75" hidden="1" customHeight="1">
      <c r="A40" s="177"/>
      <c r="B40" s="106"/>
    </row>
    <row r="41" spans="1:26" ht="15.75" hidden="1" customHeight="1">
      <c r="A41" s="177"/>
      <c r="B41" s="106"/>
    </row>
    <row r="42" spans="1:26" ht="15.75" hidden="1" customHeight="1">
      <c r="A42" s="177"/>
      <c r="B42" s="106"/>
      <c r="I42" s="131">
        <v>0.04</v>
      </c>
      <c r="J42" s="131">
        <v>3.5000000000000003E-2</v>
      </c>
      <c r="K42" s="131">
        <v>0.12820000000000001</v>
      </c>
      <c r="L42" s="131">
        <v>2.7799999999999998E-2</v>
      </c>
      <c r="M42" s="131">
        <v>0.434</v>
      </c>
      <c r="N42" s="122">
        <f>SUM(I42:M42)</f>
        <v>0.66500000000000004</v>
      </c>
    </row>
    <row r="43" spans="1:26" ht="15.75" hidden="1" customHeight="1">
      <c r="A43" s="177"/>
      <c r="B43" s="106"/>
      <c r="I43" s="122">
        <f t="shared" ref="I43:M43" si="24">I42/$N$42</f>
        <v>6.0150375939849621E-2</v>
      </c>
      <c r="J43" s="122">
        <f t="shared" si="24"/>
        <v>5.2631578947368425E-2</v>
      </c>
      <c r="K43" s="122">
        <f t="shared" si="24"/>
        <v>0.19278195488721805</v>
      </c>
      <c r="L43" s="122">
        <f t="shared" si="24"/>
        <v>4.1804511278195483E-2</v>
      </c>
      <c r="M43" s="122">
        <f t="shared" si="24"/>
        <v>0.65263157894736834</v>
      </c>
    </row>
    <row r="44" spans="1:26" ht="15.75" hidden="1" customHeight="1">
      <c r="A44" s="177"/>
      <c r="B44" s="106"/>
    </row>
    <row r="45" spans="1:26" ht="15.75" customHeight="1">
      <c r="A45" s="177"/>
      <c r="B45" s="106"/>
    </row>
    <row r="46" spans="1:26" ht="15.75" customHeight="1">
      <c r="A46" s="177"/>
      <c r="B46" s="106"/>
    </row>
    <row r="47" spans="1:26" ht="15.75" customHeight="1">
      <c r="A47" s="177"/>
      <c r="B47" s="106"/>
    </row>
    <row r="48" spans="1:26" ht="18" customHeight="1">
      <c r="A48" s="177"/>
      <c r="B48" s="106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</row>
    <row r="49" spans="1:26" ht="15.75" customHeight="1">
      <c r="A49" s="177"/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</row>
    <row r="50" spans="1:26" ht="15.75" customHeight="1">
      <c r="A50" s="177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</row>
    <row r="51" spans="1:26" ht="15.75" customHeight="1">
      <c r="A51" s="177"/>
      <c r="B51" s="126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</row>
    <row r="52" spans="1:26" ht="15.75" customHeight="1">
      <c r="A52" s="177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</row>
  </sheetData>
  <sheetProtection algorithmName="SHA-512" hashValue="tuefaF2Af93aAjUqopMK+4x5q4ejM9z+Tkspk7UI9nTP1X5+DuOE2FT83t9UUMGjYiFl54gsCzUeOB0PH5RGmg==" saltValue="XhJ2oDB/nESpJ/2pnnAz7w==" spinCount="100000" sheet="1" objects="1" scenarios="1" selectLockedCells="1"/>
  <mergeCells count="7">
    <mergeCell ref="I7:N7"/>
    <mergeCell ref="C1:L1"/>
    <mergeCell ref="M1:Q1"/>
    <mergeCell ref="C3:C4"/>
    <mergeCell ref="D3:D4"/>
    <mergeCell ref="E3:E4"/>
    <mergeCell ref="F3:K3"/>
  </mergeCells>
  <conditionalFormatting sqref="I21:N21">
    <cfRule type="expression" dxfId="11" priority="1">
      <formula>"SE+$G$19&lt;&gt;0"</formula>
    </cfRule>
  </conditionalFormatting>
  <conditionalFormatting sqref="I21:N21">
    <cfRule type="cellIs" dxfId="10" priority="2" operator="notEqual">
      <formula>0</formula>
    </cfRule>
  </conditionalFormatting>
  <conditionalFormatting sqref="I21:N21">
    <cfRule type="cellIs" dxfId="9" priority="3" operator="lessThan">
      <formula>0</formula>
    </cfRule>
  </conditionalFormatting>
  <conditionalFormatting sqref="I21:N21">
    <cfRule type="cellIs" dxfId="8" priority="4" operator="greaterThan">
      <formula>0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3</vt:i4>
      </vt:variant>
    </vt:vector>
  </HeadingPairs>
  <TitlesOfParts>
    <vt:vector size="15" baseType="lpstr">
      <vt:lpstr>Inicio</vt:lpstr>
      <vt:lpstr>Entrada de Dados</vt:lpstr>
      <vt:lpstr>Sheet1</vt:lpstr>
      <vt:lpstr>Aliquota de Impostos</vt:lpstr>
      <vt:lpstr>Resultados</vt:lpstr>
      <vt:lpstr>Sobre a L&amp;M Contabilidade</vt:lpstr>
      <vt:lpstr>Anexo I Comércio</vt:lpstr>
      <vt:lpstr>Anexo II - Indústria</vt:lpstr>
      <vt:lpstr>Anexo III - Serviços Inst.</vt:lpstr>
      <vt:lpstr>Anexo IV - Serviços em geral</vt:lpstr>
      <vt:lpstr>Anexo V - Serviços Intelectuais</vt:lpstr>
      <vt:lpstr>Auxiliar</vt:lpstr>
      <vt:lpstr>'Aliquota de Impostos'!Area_de_impressao</vt:lpstr>
      <vt:lpstr>'Entrada de Dados'!Area_de_impressao</vt:lpstr>
      <vt:lpstr>Resultados!Area_de_impressao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leonardo.c.rangel</dc:creator>
  <cp:lastModifiedBy>Usuário do Windows</cp:lastModifiedBy>
  <cp:lastPrinted>2016-08-07T21:09:16Z</cp:lastPrinted>
  <dcterms:created xsi:type="dcterms:W3CDTF">2005-06-17T04:21:50Z</dcterms:created>
  <dcterms:modified xsi:type="dcterms:W3CDTF">2019-09-27T12:52:17Z</dcterms:modified>
</cp:coreProperties>
</file>